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3675" activeTab="0"/>
  </bookViews>
  <sheets>
    <sheet name="Imports by BEC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BECREV4">'[1]dropdown codes'!$E$1:$E$5055</definedName>
    <definedName name="_xlnm.Print_Area" localSheetId="0">'Imports by BEC'!$Z$1:$CM$16</definedName>
    <definedName name="_xlnm.Print_Titles" localSheetId="0">'Imports by BEC'!$A:$A,'Imports by BEC'!$1:$5</definedName>
    <definedName name="SITCREV3Codes">'[1]dropdown codes'!$C$1:$C$5238</definedName>
    <definedName name="SITCREV3DES">'[1]dropdown codes'!$F:$F</definedName>
    <definedName name="SITCREV3DESCRIPTION">'[1]dropdown codes'!$F$2:$F$3102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<sst xmlns="http://schemas.openxmlformats.org/spreadsheetml/2006/main" count="147" uniqueCount="57">
  <si>
    <t>1st Qtr</t>
  </si>
  <si>
    <t>1. Food &amp; Beverages</t>
  </si>
  <si>
    <t>2. Industrial supplies not elsewhere specified</t>
  </si>
  <si>
    <t>3. Fuels and Lubricants</t>
  </si>
  <si>
    <t>4. Capital goods (except transport equipment)</t>
  </si>
  <si>
    <t>5. Transport equipment, and parts and accessories thereof</t>
  </si>
  <si>
    <t>6. Consumer goods not elsewhere specified</t>
  </si>
  <si>
    <t>TOTAL IMPORTS</t>
  </si>
  <si>
    <t>IMPORTS BY BROAD ECONOMIC CATEGORY</t>
  </si>
  <si>
    <t xml:space="preserve"> (CI$000's)</t>
  </si>
  <si>
    <t>7. Goods not elsewhere specified</t>
  </si>
  <si>
    <t>Annual</t>
  </si>
  <si>
    <t>Broad Economic Categories</t>
  </si>
  <si>
    <t xml:space="preserve"> 1.1 Food and beverages</t>
  </si>
  <si>
    <t>11. Primary</t>
  </si>
  <si>
    <t xml:space="preserve"> 111. Mainly for industry</t>
  </si>
  <si>
    <t xml:space="preserve"> 112. Mainly for household consumption</t>
  </si>
  <si>
    <t xml:space="preserve"> 12. Processed</t>
  </si>
  <si>
    <t xml:space="preserve"> 121. Mainly for industry</t>
  </si>
  <si>
    <t xml:space="preserve"> 122. Mainly for household consumption</t>
  </si>
  <si>
    <t xml:space="preserve"> 2. Industrial supplies not elsewhere specified</t>
  </si>
  <si>
    <t xml:space="preserve"> 21. Primary</t>
  </si>
  <si>
    <t xml:space="preserve"> 22. Processed</t>
  </si>
  <si>
    <t>3. Fuels and lubricants</t>
  </si>
  <si>
    <t xml:space="preserve"> 31. Primary</t>
  </si>
  <si>
    <t xml:space="preserve"> 32. Processed</t>
  </si>
  <si>
    <t xml:space="preserve"> 321. Motor spirit</t>
  </si>
  <si>
    <t xml:space="preserve"> 322. Other</t>
  </si>
  <si>
    <t xml:space="preserve"> 4. Capital goods (except transport equipment), and parts and accessories thereof</t>
  </si>
  <si>
    <t xml:space="preserve"> 41. Capital goods (except transport equipment)</t>
  </si>
  <si>
    <t xml:space="preserve"> 42. Parts and accessories</t>
  </si>
  <si>
    <t xml:space="preserve"> 5. Transport equipment, and parts and accessories thereof</t>
  </si>
  <si>
    <t>51. Passenger motor cars</t>
  </si>
  <si>
    <t>52. Other</t>
  </si>
  <si>
    <t>521. Industrial</t>
  </si>
  <si>
    <t xml:space="preserve"> 522. Non-industrial</t>
  </si>
  <si>
    <t xml:space="preserve"> 53. Parts and accessories</t>
  </si>
  <si>
    <t xml:space="preserve"> 61. Durable</t>
  </si>
  <si>
    <t xml:space="preserve"> 62. Semi-durable</t>
  </si>
  <si>
    <t xml:space="preserve"> 63. Non-durable</t>
  </si>
  <si>
    <t>7.  Goods not elsewhere specified</t>
  </si>
  <si>
    <t>TOTAL</t>
  </si>
  <si>
    <t>Autocheck</t>
  </si>
  <si>
    <t>Table 3. Merchandise Imports by Broad Economic Classification (BEC) (Rev 4)</t>
  </si>
  <si>
    <t>CI$Million</t>
  </si>
  <si>
    <t>Q1</t>
  </si>
  <si>
    <t>Q2</t>
  </si>
  <si>
    <t>Q3</t>
  </si>
  <si>
    <t>Q4</t>
  </si>
  <si>
    <t>2022</t>
  </si>
  <si>
    <t>4th Qtr</t>
  </si>
  <si>
    <t>3rd Qtr</t>
  </si>
  <si>
    <t>2nd Qtr</t>
  </si>
  <si>
    <t>2023</t>
  </si>
  <si>
    <t>2022R</t>
  </si>
  <si>
    <t>2023P</t>
  </si>
  <si>
    <t>YTD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</si>
</sst>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0.0%"/>
    <numFmt numFmtId="174" formatCode="_(* #,##0.0_);_(* \(#,##0.0\);_(* &quot;-&quot;??_);_(@_)"/>
    <numFmt numFmtId="175" formatCode="0.0_);\(0.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_-;\-* #,##0_-;_-* &quot;-&quot;??_-;_-@_-"/>
    <numFmt numFmtId="183" formatCode="[$-409]dddd\,\ mmmm\ dd\,\ yyyy"/>
    <numFmt numFmtId="184" formatCode="[$-409]h:mm:ss\ AM/PM"/>
    <numFmt numFmtId="185" formatCode="[$-2409]dddd\,\ mmmm\ dd\,\ yyyy"/>
    <numFmt numFmtId="186" formatCode="_(* #,##0.000_);_(* \(#,##0.000\);_(* &quot;-&quot;??_);_(@_)"/>
    <numFmt numFmtId="187" formatCode="#,##0.000"/>
    <numFmt numFmtId="188" formatCode="_(* #,##0.000_);_(* \(#,##0.000\);_(* &quot;-&quot;?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_);_(* \(#,##0\);_(* &quot;-&quot;??_);_(@_)"/>
    <numFmt numFmtId="194" formatCode="_(* #,##0.0_);_(* \(#,##0.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Book Antiqua"/>
      <family val="1"/>
    </font>
    <font>
      <b/>
      <sz val="10"/>
      <name val="Arial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Calibri"/>
      <family val="2"/>
    </font>
    <font>
      <b/>
      <sz val="16"/>
      <color indexed="8"/>
      <name val="Book Antiqua"/>
      <family val="1"/>
    </font>
    <font>
      <b/>
      <sz val="14"/>
      <color indexed="8"/>
      <name val="Book Antiqua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Calibri"/>
      <family val="2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18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 horizontal="left" wrapText="1"/>
    </xf>
    <xf numFmtId="175" fontId="6" fillId="0" borderId="0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86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4" fontId="2" fillId="0" borderId="0" xfId="42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81" fontId="2" fillId="34" borderId="12" xfId="49" applyNumberFormat="1" applyFont="1" applyFill="1" applyBorder="1" applyAlignment="1">
      <alignment/>
    </xf>
    <xf numFmtId="181" fontId="2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43" fontId="52" fillId="35" borderId="0" xfId="42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43" fontId="4" fillId="36" borderId="0" xfId="42" applyFont="1" applyFill="1" applyBorder="1" applyAlignment="1">
      <alignment/>
    </xf>
    <xf numFmtId="43" fontId="4" fillId="36" borderId="0" xfId="42" applyFont="1" applyFill="1" applyBorder="1" applyAlignment="1">
      <alignment wrapText="1"/>
    </xf>
    <xf numFmtId="187" fontId="2" fillId="3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9" fontId="53" fillId="0" borderId="15" xfId="0" applyNumberFormat="1" applyFont="1" applyBorder="1" applyAlignment="1">
      <alignment/>
    </xf>
    <xf numFmtId="43" fontId="54" fillId="35" borderId="16" xfId="46" applyFont="1" applyFill="1" applyBorder="1" applyAlignment="1">
      <alignment horizontal="left"/>
    </xf>
    <xf numFmtId="0" fontId="9" fillId="35" borderId="17" xfId="0" applyFont="1" applyFill="1" applyBorder="1" applyAlignment="1">
      <alignment/>
    </xf>
    <xf numFmtId="43" fontId="55" fillId="35" borderId="10" xfId="46" applyFont="1" applyFill="1" applyBorder="1" applyAlignment="1">
      <alignment/>
    </xf>
    <xf numFmtId="43" fontId="9" fillId="35" borderId="0" xfId="46" applyFont="1" applyFill="1" applyBorder="1" applyAlignment="1">
      <alignment/>
    </xf>
    <xf numFmtId="0" fontId="9" fillId="35" borderId="17" xfId="0" applyFont="1" applyFill="1" applyBorder="1" applyAlignment="1">
      <alignment horizontal="left" indent="1"/>
    </xf>
    <xf numFmtId="43" fontId="9" fillId="35" borderId="10" xfId="46" applyFont="1" applyFill="1" applyBorder="1" applyAlignment="1">
      <alignment/>
    </xf>
    <xf numFmtId="0" fontId="10" fillId="35" borderId="17" xfId="0" applyFont="1" applyFill="1" applyBorder="1" applyAlignment="1">
      <alignment horizontal="left" indent="2"/>
    </xf>
    <xf numFmtId="0" fontId="10" fillId="35" borderId="17" xfId="0" applyFont="1" applyFill="1" applyBorder="1" applyAlignment="1">
      <alignment horizontal="left" indent="3"/>
    </xf>
    <xf numFmtId="0" fontId="9" fillId="35" borderId="17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left" indent="4"/>
    </xf>
    <xf numFmtId="0" fontId="10" fillId="35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4" xfId="0" applyFill="1" applyBorder="1" applyAlignment="1">
      <alignment/>
    </xf>
    <xf numFmtId="0" fontId="2" fillId="2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right"/>
    </xf>
    <xf numFmtId="43" fontId="4" fillId="0" borderId="0" xfId="0" applyNumberFormat="1" applyFont="1" applyAlignment="1">
      <alignment/>
    </xf>
    <xf numFmtId="43" fontId="4" fillId="2" borderId="14" xfId="0" applyNumberFormat="1" applyFont="1" applyFill="1" applyBorder="1" applyAlignment="1">
      <alignment/>
    </xf>
    <xf numFmtId="43" fontId="4" fillId="36" borderId="14" xfId="0" applyNumberFormat="1" applyFont="1" applyFill="1" applyBorder="1" applyAlignment="1">
      <alignment/>
    </xf>
    <xf numFmtId="49" fontId="55" fillId="35" borderId="19" xfId="46" applyNumberFormat="1" applyFont="1" applyFill="1" applyBorder="1" applyAlignment="1">
      <alignment/>
    </xf>
    <xf numFmtId="0" fontId="8" fillId="32" borderId="19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8" fillId="32" borderId="21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43" fontId="55" fillId="35" borderId="0" xfId="46" applyFont="1" applyFill="1" applyBorder="1" applyAlignment="1">
      <alignment/>
    </xf>
    <xf numFmtId="4" fontId="55" fillId="35" borderId="22" xfId="0" applyNumberFormat="1" applyFont="1" applyFill="1" applyBorder="1" applyAlignment="1">
      <alignment/>
    </xf>
    <xf numFmtId="4" fontId="55" fillId="35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 vertical="top"/>
    </xf>
    <xf numFmtId="43" fontId="4" fillId="0" borderId="0" xfId="42" applyFont="1" applyBorder="1" applyAlignment="1">
      <alignment/>
    </xf>
    <xf numFmtId="0" fontId="4" fillId="0" borderId="0" xfId="0" applyFont="1" applyFill="1" applyBorder="1" applyAlignment="1">
      <alignment horizontal="right"/>
    </xf>
    <xf numFmtId="49" fontId="55" fillId="35" borderId="24" xfId="46" applyNumberFormat="1" applyFont="1" applyFill="1" applyBorder="1" applyAlignment="1">
      <alignment horizontal="right"/>
    </xf>
    <xf numFmtId="43" fontId="9" fillId="37" borderId="13" xfId="46" applyFont="1" applyFill="1" applyBorder="1" applyAlignment="1">
      <alignment horizontal="center"/>
    </xf>
    <xf numFmtId="43" fontId="9" fillId="37" borderId="14" xfId="46" applyFont="1" applyFill="1" applyBorder="1" applyAlignment="1">
      <alignment horizontal="center"/>
    </xf>
    <xf numFmtId="43" fontId="55" fillId="35" borderId="17" xfId="46" applyFont="1" applyFill="1" applyBorder="1" applyAlignment="1">
      <alignment/>
    </xf>
    <xf numFmtId="43" fontId="9" fillId="35" borderId="17" xfId="46" applyFont="1" applyFill="1" applyBorder="1" applyAlignment="1">
      <alignment/>
    </xf>
    <xf numFmtId="4" fontId="55" fillId="35" borderId="18" xfId="0" applyNumberFormat="1" applyFont="1" applyFill="1" applyBorder="1" applyAlignment="1">
      <alignment/>
    </xf>
    <xf numFmtId="43" fontId="9" fillId="37" borderId="25" xfId="46" applyFont="1" applyFill="1" applyBorder="1" applyAlignment="1">
      <alignment horizontal="center"/>
    </xf>
    <xf numFmtId="43" fontId="9" fillId="37" borderId="26" xfId="46" applyFont="1" applyFill="1" applyBorder="1" applyAlignment="1">
      <alignment horizontal="center"/>
    </xf>
    <xf numFmtId="49" fontId="55" fillId="35" borderId="22" xfId="46" applyNumberFormat="1" applyFont="1" applyFill="1" applyBorder="1" applyAlignment="1">
      <alignment horizontal="right"/>
    </xf>
    <xf numFmtId="49" fontId="55" fillId="35" borderId="23" xfId="46" applyNumberFormat="1" applyFont="1" applyFill="1" applyBorder="1" applyAlignment="1">
      <alignment/>
    </xf>
    <xf numFmtId="49" fontId="55" fillId="35" borderId="27" xfId="46" applyNumberFormat="1" applyFont="1" applyFill="1" applyBorder="1" applyAlignment="1">
      <alignment/>
    </xf>
    <xf numFmtId="0" fontId="4" fillId="34" borderId="14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1" fontId="4" fillId="34" borderId="14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4" fontId="10" fillId="35" borderId="17" xfId="0" applyNumberFormat="1" applyFont="1" applyFill="1" applyBorder="1" applyAlignment="1">
      <alignment/>
    </xf>
    <xf numFmtId="4" fontId="9" fillId="35" borderId="10" xfId="46" applyNumberFormat="1" applyFont="1" applyFill="1" applyBorder="1" applyAlignment="1">
      <alignment/>
    </xf>
    <xf numFmtId="4" fontId="9" fillId="35" borderId="0" xfId="46" applyNumberFormat="1" applyFont="1" applyFill="1" applyBorder="1" applyAlignment="1">
      <alignment/>
    </xf>
    <xf numFmtId="4" fontId="9" fillId="35" borderId="17" xfId="46" applyNumberFormat="1" applyFont="1" applyFill="1" applyBorder="1" applyAlignment="1">
      <alignment/>
    </xf>
    <xf numFmtId="4" fontId="10" fillId="35" borderId="10" xfId="46" applyNumberFormat="1" applyFont="1" applyFill="1" applyBorder="1" applyAlignment="1">
      <alignment/>
    </xf>
    <xf numFmtId="4" fontId="10" fillId="35" borderId="0" xfId="46" applyNumberFormat="1" applyFont="1" applyFill="1" applyBorder="1" applyAlignment="1">
      <alignment/>
    </xf>
    <xf numFmtId="4" fontId="10" fillId="35" borderId="17" xfId="46" applyNumberFormat="1" applyFont="1" applyFill="1" applyBorder="1" applyAlignment="1">
      <alignment/>
    </xf>
    <xf numFmtId="4" fontId="33" fillId="35" borderId="10" xfId="46" applyNumberFormat="1" applyFont="1" applyFill="1" applyBorder="1" applyAlignment="1">
      <alignment/>
    </xf>
    <xf numFmtId="4" fontId="33" fillId="35" borderId="0" xfId="46" applyNumberFormat="1" applyFont="1" applyFill="1" applyBorder="1" applyAlignment="1">
      <alignment/>
    </xf>
    <xf numFmtId="4" fontId="33" fillId="35" borderId="17" xfId="46" applyNumberFormat="1" applyFont="1" applyFill="1" applyBorder="1" applyAlignment="1">
      <alignment/>
    </xf>
    <xf numFmtId="4" fontId="9" fillId="35" borderId="20" xfId="46" applyNumberFormat="1" applyFont="1" applyFill="1" applyBorder="1" applyAlignment="1">
      <alignment/>
    </xf>
    <xf numFmtId="4" fontId="9" fillId="35" borderId="21" xfId="46" applyNumberFormat="1" applyFont="1" applyFill="1" applyBorder="1" applyAlignment="1">
      <alignment/>
    </xf>
    <xf numFmtId="4" fontId="9" fillId="35" borderId="31" xfId="46" applyNumberFormat="1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_TRADE  Tables 2010 1 qtr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Percent 5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verseas%20Trades\Imports%20by%20BEC\2008%20Cayman%20Imports%20by%20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4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>67621 </v>
          </cell>
        </row>
        <row r="1742">
          <cell r="C1742" t="str">
            <v>574.34</v>
          </cell>
          <cell r="E1742" t="str">
            <v>582.22</v>
          </cell>
          <cell r="F1742" t="str">
            <v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>67641 </v>
          </cell>
        </row>
        <row r="1747">
          <cell r="C1747" t="str">
            <v>575.42</v>
          </cell>
          <cell r="E1747" t="str">
            <v>582.25</v>
          </cell>
          <cell r="F1747" t="str">
            <v>67642 </v>
          </cell>
        </row>
        <row r="1748">
          <cell r="C1748" t="str">
            <v>575.43</v>
          </cell>
          <cell r="E1748" t="str">
            <v>582.26</v>
          </cell>
          <cell r="F1748" t="str">
            <v>67643 </v>
          </cell>
        </row>
        <row r="1749">
          <cell r="C1749" t="str">
            <v>575.44</v>
          </cell>
          <cell r="E1749" t="str">
            <v>582.26</v>
          </cell>
          <cell r="F1749" t="str">
            <v>67644 </v>
          </cell>
        </row>
        <row r="1750">
          <cell r="C1750" t="str">
            <v>575.45</v>
          </cell>
          <cell r="E1750" t="str">
            <v>582.26</v>
          </cell>
          <cell r="F1750" t="str">
            <v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R58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140625" defaultRowHeight="12.75"/>
  <cols>
    <col min="1" max="1" width="57.7109375" style="8" customWidth="1"/>
    <col min="2" max="2" width="12.7109375" style="8" customWidth="1"/>
    <col min="3" max="4" width="10.7109375" style="8" customWidth="1"/>
    <col min="5" max="6" width="10.7109375" style="18" customWidth="1"/>
    <col min="7" max="7" width="2.140625" style="18" customWidth="1"/>
    <col min="8" max="8" width="12.7109375" style="8" customWidth="1"/>
    <col min="9" max="10" width="10.7109375" style="8" customWidth="1"/>
    <col min="11" max="12" width="10.7109375" style="18" customWidth="1"/>
    <col min="13" max="13" width="2.140625" style="18" customWidth="1"/>
    <col min="14" max="14" width="13.421875" style="18" customWidth="1"/>
    <col min="15" max="18" width="11.140625" style="18" customWidth="1"/>
    <col min="19" max="19" width="2.140625" style="18" customWidth="1"/>
    <col min="20" max="20" width="12.7109375" style="8" customWidth="1"/>
    <col min="21" max="22" width="10.7109375" style="8" customWidth="1"/>
    <col min="23" max="24" width="10.7109375" style="18" customWidth="1"/>
    <col min="25" max="25" width="2.140625" style="18" customWidth="1"/>
    <col min="26" max="26" width="12.7109375" style="8" customWidth="1"/>
    <col min="27" max="28" width="10.7109375" style="8" customWidth="1"/>
    <col min="29" max="30" width="10.7109375" style="18" customWidth="1"/>
    <col min="31" max="31" width="2.140625" style="18" customWidth="1"/>
    <col min="32" max="32" width="12.00390625" style="18" customWidth="1"/>
    <col min="33" max="36" width="11.140625" style="18" customWidth="1"/>
    <col min="37" max="37" width="2.140625" style="18" customWidth="1"/>
    <col min="38" max="38" width="12.7109375" style="8" customWidth="1"/>
    <col min="39" max="40" width="11.7109375" style="8" customWidth="1"/>
    <col min="41" max="42" width="11.7109375" style="18" customWidth="1"/>
    <col min="43" max="43" width="2.140625" style="18" customWidth="1"/>
    <col min="44" max="44" width="12.7109375" style="8" customWidth="1"/>
    <col min="45" max="46" width="11.7109375" style="8" customWidth="1"/>
    <col min="47" max="48" width="11.7109375" style="18" customWidth="1"/>
    <col min="49" max="49" width="2.140625" style="18" customWidth="1"/>
    <col min="50" max="54" width="11.57421875" style="18" customWidth="1"/>
    <col min="55" max="55" width="2.140625" style="18" customWidth="1"/>
    <col min="56" max="60" width="11.57421875" style="18" customWidth="1"/>
    <col min="61" max="61" width="2.140625" style="18" customWidth="1"/>
    <col min="62" max="66" width="11.57421875" style="18" customWidth="1"/>
    <col min="67" max="67" width="2.140625" style="18" customWidth="1"/>
    <col min="68" max="72" width="11.57421875" style="18" customWidth="1"/>
    <col min="73" max="73" width="2.140625" style="18" customWidth="1"/>
    <col min="74" max="78" width="11.57421875" style="18" customWidth="1"/>
    <col min="79" max="79" width="2.140625" style="18" customWidth="1"/>
    <col min="80" max="84" width="11.57421875" style="18" customWidth="1"/>
    <col min="85" max="85" width="2.140625" style="18" customWidth="1"/>
    <col min="86" max="90" width="11.57421875" style="18" customWidth="1"/>
    <col min="91" max="91" width="2.140625" style="18" customWidth="1"/>
    <col min="92" max="96" width="11.57421875" style="18" customWidth="1"/>
    <col min="97" max="16384" width="9.140625" style="8" customWidth="1"/>
  </cols>
  <sheetData>
    <row r="1" spans="1:96" s="2" customFormat="1" ht="18">
      <c r="A1" s="39" t="s">
        <v>8</v>
      </c>
      <c r="B1" s="1"/>
      <c r="C1" s="1"/>
      <c r="D1" s="23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S1" s="1"/>
      <c r="T1" s="1"/>
      <c r="U1" s="1"/>
      <c r="V1" s="23"/>
      <c r="W1" s="1"/>
      <c r="X1" s="1"/>
      <c r="Y1" s="1"/>
      <c r="Z1" s="1"/>
      <c r="AA1" s="1"/>
      <c r="AB1" s="23"/>
      <c r="AC1" s="1"/>
      <c r="AD1" s="1"/>
      <c r="AE1" s="1"/>
      <c r="AF1" s="1"/>
      <c r="AG1" s="1"/>
      <c r="AH1" s="1"/>
      <c r="AI1" s="1"/>
      <c r="AK1" s="1"/>
      <c r="AL1" s="1"/>
      <c r="AM1" s="1"/>
      <c r="AN1" s="23"/>
      <c r="AO1" s="1"/>
      <c r="AP1" s="1"/>
      <c r="AQ1" s="1"/>
      <c r="AR1" s="1"/>
      <c r="AS1" s="1"/>
      <c r="AT1" s="1"/>
      <c r="AU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"/>
      <c r="BV1" s="1"/>
      <c r="BW1" s="1"/>
      <c r="BX1" s="1"/>
      <c r="BY1" s="1"/>
      <c r="BZ1" s="1"/>
      <c r="CA1" s="12"/>
      <c r="CB1" s="1"/>
      <c r="CC1" s="1"/>
      <c r="CD1" s="1"/>
      <c r="CE1" s="1"/>
      <c r="CF1" s="1"/>
      <c r="CH1" s="1"/>
      <c r="CI1" s="1"/>
      <c r="CJ1" s="1"/>
      <c r="CK1" s="1"/>
      <c r="CL1" s="1"/>
      <c r="CN1" s="1"/>
      <c r="CO1" s="1"/>
      <c r="CP1" s="1"/>
      <c r="CQ1" s="1"/>
      <c r="CR1" s="1"/>
    </row>
    <row r="2" spans="1:90" s="2" customFormat="1" ht="18">
      <c r="A2" s="41">
        <f>((1000))</f>
        <v>1000</v>
      </c>
      <c r="AZ2" s="11"/>
      <c r="BA2" s="11"/>
      <c r="BB2" s="11"/>
      <c r="BF2" s="11"/>
      <c r="BG2" s="11"/>
      <c r="BH2" s="11"/>
      <c r="BL2" s="11"/>
      <c r="BM2" s="11"/>
      <c r="BN2" s="11"/>
      <c r="BR2" s="11"/>
      <c r="BS2" s="11"/>
      <c r="BT2" s="11"/>
      <c r="BX2" s="11"/>
      <c r="BY2" s="11"/>
      <c r="BZ2" s="11"/>
      <c r="CD2" s="11"/>
      <c r="CE2" s="11"/>
      <c r="CF2" s="11"/>
      <c r="CJ2" s="11"/>
      <c r="CK2" s="11"/>
      <c r="CL2" s="11"/>
    </row>
    <row r="3" spans="1:96" s="2" customFormat="1" ht="18">
      <c r="A3" s="40" t="s">
        <v>9</v>
      </c>
      <c r="B3" s="101" t="s">
        <v>55</v>
      </c>
      <c r="C3" s="101"/>
      <c r="D3" s="101"/>
      <c r="E3" s="101"/>
      <c r="F3" s="102"/>
      <c r="G3" s="32"/>
      <c r="H3" s="101" t="s">
        <v>54</v>
      </c>
      <c r="I3" s="101"/>
      <c r="J3" s="101"/>
      <c r="K3" s="101"/>
      <c r="L3" s="102"/>
      <c r="M3" s="32"/>
      <c r="N3" s="98">
        <v>2021</v>
      </c>
      <c r="O3" s="99"/>
      <c r="P3" s="99"/>
      <c r="Q3" s="99"/>
      <c r="R3" s="100"/>
      <c r="S3" s="32"/>
      <c r="T3" s="98">
        <v>2020</v>
      </c>
      <c r="U3" s="99"/>
      <c r="V3" s="99"/>
      <c r="W3" s="99"/>
      <c r="X3" s="100"/>
      <c r="Y3" s="32"/>
      <c r="Z3" s="98">
        <v>2019</v>
      </c>
      <c r="AA3" s="99"/>
      <c r="AB3" s="99"/>
      <c r="AC3" s="99"/>
      <c r="AD3" s="100"/>
      <c r="AE3" s="32"/>
      <c r="AF3" s="98">
        <v>2018</v>
      </c>
      <c r="AG3" s="99"/>
      <c r="AH3" s="99"/>
      <c r="AI3" s="99"/>
      <c r="AJ3" s="100"/>
      <c r="AK3" s="32"/>
      <c r="AL3" s="98">
        <v>2018</v>
      </c>
      <c r="AM3" s="99"/>
      <c r="AN3" s="99"/>
      <c r="AO3" s="99"/>
      <c r="AP3" s="99"/>
      <c r="AQ3" s="32"/>
      <c r="AR3" s="99">
        <v>2017</v>
      </c>
      <c r="AS3" s="99"/>
      <c r="AT3" s="99"/>
      <c r="AU3" s="99"/>
      <c r="AV3" s="99"/>
      <c r="AW3" s="32"/>
      <c r="AX3" s="99">
        <v>2016</v>
      </c>
      <c r="AY3" s="99"/>
      <c r="AZ3" s="99"/>
      <c r="BA3" s="99"/>
      <c r="BB3" s="99"/>
      <c r="BC3" s="32"/>
      <c r="BD3" s="99">
        <v>2015</v>
      </c>
      <c r="BE3" s="99"/>
      <c r="BF3" s="99"/>
      <c r="BG3" s="99"/>
      <c r="BH3" s="99"/>
      <c r="BI3" s="32"/>
      <c r="BJ3" s="99">
        <v>2014</v>
      </c>
      <c r="BK3" s="99"/>
      <c r="BL3" s="99"/>
      <c r="BM3" s="99"/>
      <c r="BN3" s="99"/>
      <c r="BO3" s="32"/>
      <c r="BP3" s="99">
        <v>2013</v>
      </c>
      <c r="BQ3" s="99"/>
      <c r="BR3" s="99"/>
      <c r="BS3" s="99"/>
      <c r="BT3" s="99"/>
      <c r="BU3" s="32"/>
      <c r="BV3" s="99">
        <v>2012</v>
      </c>
      <c r="BW3" s="99"/>
      <c r="BX3" s="99"/>
      <c r="BY3" s="99"/>
      <c r="BZ3" s="100"/>
      <c r="CA3" s="32"/>
      <c r="CB3" s="98">
        <v>2011</v>
      </c>
      <c r="CC3" s="99"/>
      <c r="CD3" s="99"/>
      <c r="CE3" s="99"/>
      <c r="CF3" s="100"/>
      <c r="CG3" s="32"/>
      <c r="CH3" s="98">
        <v>2010</v>
      </c>
      <c r="CI3" s="99"/>
      <c r="CJ3" s="99"/>
      <c r="CK3" s="99"/>
      <c r="CL3" s="100"/>
      <c r="CM3" s="32"/>
      <c r="CN3" s="11"/>
      <c r="CO3" s="12"/>
      <c r="CP3" s="12"/>
      <c r="CQ3" s="12"/>
      <c r="CR3" s="12"/>
    </row>
    <row r="4" spans="7:91" s="2" customFormat="1" ht="15">
      <c r="G4" s="33"/>
      <c r="M4" s="33"/>
      <c r="S4" s="33"/>
      <c r="Y4" s="33"/>
      <c r="AE4" s="33"/>
      <c r="AK4" s="33"/>
      <c r="AQ4" s="33"/>
      <c r="AW4" s="33"/>
      <c r="BC4" s="33"/>
      <c r="BI4" s="33"/>
      <c r="BO4" s="33"/>
      <c r="BU4" s="33"/>
      <c r="CA4" s="33"/>
      <c r="CG4" s="33"/>
      <c r="CM4" s="33"/>
    </row>
    <row r="5" spans="2:96" s="2" customFormat="1" ht="15">
      <c r="B5" s="28" t="s">
        <v>11</v>
      </c>
      <c r="C5" s="3" t="s">
        <v>50</v>
      </c>
      <c r="D5" s="3" t="s">
        <v>51</v>
      </c>
      <c r="E5" s="3" t="s">
        <v>52</v>
      </c>
      <c r="F5" s="3" t="s">
        <v>0</v>
      </c>
      <c r="G5" s="33"/>
      <c r="H5" s="28" t="s">
        <v>11</v>
      </c>
      <c r="I5" s="3" t="s">
        <v>50</v>
      </c>
      <c r="J5" s="3" t="s">
        <v>51</v>
      </c>
      <c r="K5" s="3" t="s">
        <v>52</v>
      </c>
      <c r="L5" s="3" t="s">
        <v>0</v>
      </c>
      <c r="M5" s="33"/>
      <c r="N5" s="28" t="s">
        <v>11</v>
      </c>
      <c r="O5" s="3" t="s">
        <v>50</v>
      </c>
      <c r="P5" s="3" t="s">
        <v>51</v>
      </c>
      <c r="Q5" s="3" t="s">
        <v>52</v>
      </c>
      <c r="R5" s="3" t="s">
        <v>0</v>
      </c>
      <c r="S5" s="33"/>
      <c r="T5" s="28" t="s">
        <v>11</v>
      </c>
      <c r="U5" s="3" t="s">
        <v>50</v>
      </c>
      <c r="V5" s="3" t="s">
        <v>51</v>
      </c>
      <c r="W5" s="3" t="s">
        <v>52</v>
      </c>
      <c r="X5" s="3" t="s">
        <v>0</v>
      </c>
      <c r="Y5" s="33"/>
      <c r="Z5" s="28" t="s">
        <v>11</v>
      </c>
      <c r="AA5" s="3" t="s">
        <v>50</v>
      </c>
      <c r="AB5" s="3" t="s">
        <v>51</v>
      </c>
      <c r="AC5" s="3" t="s">
        <v>52</v>
      </c>
      <c r="AD5" s="3" t="s">
        <v>0</v>
      </c>
      <c r="AE5" s="33"/>
      <c r="AF5" s="28" t="s">
        <v>11</v>
      </c>
      <c r="AG5" s="3" t="s">
        <v>50</v>
      </c>
      <c r="AH5" s="3" t="s">
        <v>51</v>
      </c>
      <c r="AI5" s="3" t="s">
        <v>52</v>
      </c>
      <c r="AJ5" s="3" t="s">
        <v>0</v>
      </c>
      <c r="AK5" s="33"/>
      <c r="AL5" s="43" t="s">
        <v>11</v>
      </c>
      <c r="AM5" s="44" t="s">
        <v>50</v>
      </c>
      <c r="AN5" s="44" t="s">
        <v>51</v>
      </c>
      <c r="AO5" s="44" t="s">
        <v>52</v>
      </c>
      <c r="AP5" s="44" t="s">
        <v>0</v>
      </c>
      <c r="AQ5" s="33"/>
      <c r="AR5" s="28" t="s">
        <v>11</v>
      </c>
      <c r="AS5" s="3" t="s">
        <v>50</v>
      </c>
      <c r="AT5" s="3" t="s">
        <v>51</v>
      </c>
      <c r="AU5" s="3" t="s">
        <v>52</v>
      </c>
      <c r="AV5" s="3" t="s">
        <v>0</v>
      </c>
      <c r="AW5" s="33"/>
      <c r="AX5" s="28" t="s">
        <v>11</v>
      </c>
      <c r="AY5" s="3" t="s">
        <v>50</v>
      </c>
      <c r="AZ5" s="3" t="s">
        <v>51</v>
      </c>
      <c r="BA5" s="3" t="s">
        <v>52</v>
      </c>
      <c r="BB5" s="3" t="s">
        <v>0</v>
      </c>
      <c r="BC5" s="33"/>
      <c r="BD5" s="28" t="s">
        <v>11</v>
      </c>
      <c r="BE5" s="3" t="s">
        <v>50</v>
      </c>
      <c r="BF5" s="3" t="s">
        <v>51</v>
      </c>
      <c r="BG5" s="3" t="s">
        <v>52</v>
      </c>
      <c r="BH5" s="3" t="s">
        <v>0</v>
      </c>
      <c r="BI5" s="33"/>
      <c r="BJ5" s="28" t="s">
        <v>11</v>
      </c>
      <c r="BK5" s="3" t="s">
        <v>50</v>
      </c>
      <c r="BL5" s="3" t="s">
        <v>51</v>
      </c>
      <c r="BM5" s="3" t="s">
        <v>52</v>
      </c>
      <c r="BN5" s="3" t="s">
        <v>0</v>
      </c>
      <c r="BO5" s="33"/>
      <c r="BP5" s="28" t="s">
        <v>11</v>
      </c>
      <c r="BQ5" s="3" t="s">
        <v>50</v>
      </c>
      <c r="BR5" s="3" t="s">
        <v>51</v>
      </c>
      <c r="BS5" s="3" t="s">
        <v>52</v>
      </c>
      <c r="BT5" s="3" t="s">
        <v>0</v>
      </c>
      <c r="BU5" s="33"/>
      <c r="BV5" s="28" t="s">
        <v>11</v>
      </c>
      <c r="BW5" s="3" t="s">
        <v>50</v>
      </c>
      <c r="BX5" s="3" t="s">
        <v>51</v>
      </c>
      <c r="BY5" s="3" t="s">
        <v>52</v>
      </c>
      <c r="BZ5" s="3" t="s">
        <v>0</v>
      </c>
      <c r="CA5" s="33"/>
      <c r="CB5" s="28" t="s">
        <v>11</v>
      </c>
      <c r="CC5" s="3" t="s">
        <v>50</v>
      </c>
      <c r="CD5" s="3" t="s">
        <v>51</v>
      </c>
      <c r="CE5" s="3" t="s">
        <v>52</v>
      </c>
      <c r="CF5" s="3" t="s">
        <v>0</v>
      </c>
      <c r="CG5" s="33"/>
      <c r="CH5" s="28" t="s">
        <v>11</v>
      </c>
      <c r="CI5" s="3" t="s">
        <v>50</v>
      </c>
      <c r="CJ5" s="3" t="s">
        <v>51</v>
      </c>
      <c r="CK5" s="3" t="s">
        <v>52</v>
      </c>
      <c r="CL5" s="3" t="s">
        <v>0</v>
      </c>
      <c r="CM5" s="33"/>
      <c r="CO5" s="3"/>
      <c r="CP5" s="3"/>
      <c r="CQ5" s="3"/>
      <c r="CR5" s="3"/>
    </row>
    <row r="6" spans="7:91" s="2" customFormat="1" ht="15">
      <c r="G6" s="34"/>
      <c r="M6" s="34"/>
      <c r="S6" s="34"/>
      <c r="Y6" s="34"/>
      <c r="AE6" s="34"/>
      <c r="AK6" s="34"/>
      <c r="AL6" s="45"/>
      <c r="AM6" s="45"/>
      <c r="AN6" s="45"/>
      <c r="AO6" s="45"/>
      <c r="AP6" s="45"/>
      <c r="AQ6" s="34"/>
      <c r="AW6" s="34"/>
      <c r="BC6" s="34"/>
      <c r="BI6" s="34"/>
      <c r="BO6" s="34"/>
      <c r="BU6" s="34"/>
      <c r="CA6" s="34"/>
      <c r="CG6" s="34"/>
      <c r="CM6" s="34"/>
    </row>
    <row r="7" spans="1:96" s="4" customFormat="1" ht="15">
      <c r="A7" s="2" t="s">
        <v>1</v>
      </c>
      <c r="B7" s="21">
        <f aca="true" t="shared" si="0" ref="B7:B13">SUM(C7:F7)</f>
        <v>229.83406694169352</v>
      </c>
      <c r="C7" s="21"/>
      <c r="D7" s="21">
        <v>74.51358487374945</v>
      </c>
      <c r="E7" s="21">
        <v>78.69780167506386</v>
      </c>
      <c r="F7" s="21">
        <v>76.6226803928802</v>
      </c>
      <c r="G7" s="35"/>
      <c r="H7" s="21">
        <f aca="true" t="shared" si="1" ref="H7:H13">SUM(I7:L7)</f>
        <v>202.07980491849509</v>
      </c>
      <c r="I7" s="21"/>
      <c r="J7" s="70">
        <v>68.73534265589272</v>
      </c>
      <c r="K7" s="70">
        <v>71.28315593531455</v>
      </c>
      <c r="L7" s="70">
        <v>62.061306327287795</v>
      </c>
      <c r="M7" s="35"/>
      <c r="N7" s="21">
        <f aca="true" t="shared" si="2" ref="N7:N13">SUM(O7:R7)</f>
        <v>233.30824370732984</v>
      </c>
      <c r="O7" s="21">
        <v>66.44976485071167</v>
      </c>
      <c r="P7" s="21">
        <v>56.61460594465414</v>
      </c>
      <c r="Q7" s="21">
        <v>58.52218537043599</v>
      </c>
      <c r="R7" s="21">
        <v>51.721687541528</v>
      </c>
      <c r="S7" s="35"/>
      <c r="T7" s="21">
        <f aca="true" t="shared" si="3" ref="T7:T13">SUM(U7:X7)</f>
        <v>219.33216855738505</v>
      </c>
      <c r="U7" s="21">
        <v>62.561468481416874</v>
      </c>
      <c r="V7" s="21">
        <v>47.84718544228828</v>
      </c>
      <c r="W7" s="21">
        <v>46.607469662627686</v>
      </c>
      <c r="X7" s="21">
        <v>62.31604497105222</v>
      </c>
      <c r="Y7" s="35"/>
      <c r="Z7" s="21">
        <f aca="true" t="shared" si="4" ref="Z7:Z13">SUM(AA7:AD7)</f>
        <v>234.26177166770077</v>
      </c>
      <c r="AA7" s="21">
        <v>64.07007623851923</v>
      </c>
      <c r="AB7" s="21">
        <v>52.55661912177362</v>
      </c>
      <c r="AC7" s="21">
        <v>58.9009949246061</v>
      </c>
      <c r="AD7" s="21">
        <v>58.734081382801804</v>
      </c>
      <c r="AE7" s="35"/>
      <c r="AF7" s="21">
        <f aca="true" t="shared" si="5" ref="AF7:AF13">SUM(AG7:AJ7)</f>
        <v>218.947796296247</v>
      </c>
      <c r="AG7" s="21">
        <v>60.1021941218441</v>
      </c>
      <c r="AH7" s="21">
        <v>52.2612651763301</v>
      </c>
      <c r="AI7" s="21">
        <v>51.96144585948368</v>
      </c>
      <c r="AJ7" s="21">
        <v>54.62289113858909</v>
      </c>
      <c r="AK7" s="35"/>
      <c r="AL7" s="46">
        <f aca="true" t="shared" si="6" ref="AL7:AL13">SUM(AM7:AP7)</f>
        <v>219.01964801209786</v>
      </c>
      <c r="AM7" s="46">
        <f>60071714.7703389/(1000000)</f>
        <v>60.0717147703389</v>
      </c>
      <c r="AN7" s="46">
        <f>52210091.5248806/(1000000)</f>
        <v>52.21009152488059</v>
      </c>
      <c r="AO7" s="46">
        <f>51936903.3089378/(1000000)</f>
        <v>51.93690330893776</v>
      </c>
      <c r="AP7" s="46">
        <f>54800938.4079406/(1000000)</f>
        <v>54.8009384079406</v>
      </c>
      <c r="AQ7" s="35"/>
      <c r="AR7" s="21">
        <f aca="true" t="shared" si="7" ref="AR7:AR13">SUM(AS7:AV7)</f>
        <v>202.10692837994011</v>
      </c>
      <c r="AS7" s="21">
        <f>55681224.3246726/(1000000)</f>
        <v>55.68122432467264</v>
      </c>
      <c r="AT7" s="21">
        <f>47753647.1290091/(1000000)</f>
        <v>47.75364712900905</v>
      </c>
      <c r="AU7" s="21">
        <f>48336230.9685217/(1000000)</f>
        <v>48.33623096852168</v>
      </c>
      <c r="AV7" s="21">
        <f>50335825.9577367/(1000000)</f>
        <v>50.335825957736745</v>
      </c>
      <c r="AW7" s="35"/>
      <c r="AX7" s="5">
        <v>198.52680056115545</v>
      </c>
      <c r="AY7" s="5">
        <f>AX7-SUM(AZ7:BB7)</f>
        <v>52.63021508085404</v>
      </c>
      <c r="AZ7" s="5">
        <v>49.64601783156651</v>
      </c>
      <c r="BA7" s="5">
        <v>46.49752475756341</v>
      </c>
      <c r="BB7" s="5">
        <v>49.753042891171496</v>
      </c>
      <c r="BC7" s="35"/>
      <c r="BD7" s="5">
        <f>SUM(BE7:BH7)</f>
        <v>192.0339311872748</v>
      </c>
      <c r="BE7" s="5">
        <v>50.12035764047749</v>
      </c>
      <c r="BF7" s="5">
        <v>44.17044</v>
      </c>
      <c r="BG7" s="5">
        <v>46.3453038712294</v>
      </c>
      <c r="BH7" s="5">
        <v>51.3978296755679</v>
      </c>
      <c r="BI7" s="35"/>
      <c r="BJ7" s="5">
        <f>SUM(BK7:BN7)</f>
        <v>186.85368276397782</v>
      </c>
      <c r="BK7" s="5">
        <v>49.8032855260147</v>
      </c>
      <c r="BL7" s="5">
        <v>43.49006993326555</v>
      </c>
      <c r="BM7" s="5">
        <v>46.633133140554655</v>
      </c>
      <c r="BN7" s="5">
        <v>46.927194164142904</v>
      </c>
      <c r="BO7" s="35"/>
      <c r="BP7" s="5">
        <f>SUM(BQ7:BT7)</f>
        <v>161.4</v>
      </c>
      <c r="BQ7" s="5">
        <v>46.41040961723526</v>
      </c>
      <c r="BR7" s="5">
        <v>35.2</v>
      </c>
      <c r="BS7" s="5">
        <v>38.4</v>
      </c>
      <c r="BT7" s="5">
        <v>41.38959038276473</v>
      </c>
      <c r="BU7" s="35"/>
      <c r="BV7" s="5">
        <f>SUM(BW7:BZ7)</f>
        <v>149.90000000000003</v>
      </c>
      <c r="BW7" s="5">
        <v>40.970000000000006</v>
      </c>
      <c r="BX7" s="5">
        <v>35.77</v>
      </c>
      <c r="BY7" s="5">
        <v>35.46</v>
      </c>
      <c r="BZ7" s="5">
        <v>37.7</v>
      </c>
      <c r="CA7" s="35"/>
      <c r="CB7" s="5">
        <f>SUM(CC7:CF7)</f>
        <v>140.1</v>
      </c>
      <c r="CC7" s="5">
        <v>37.919999999999995</v>
      </c>
      <c r="CD7" s="5">
        <v>33.96</v>
      </c>
      <c r="CE7" s="5">
        <v>34.22</v>
      </c>
      <c r="CF7" s="5">
        <v>34</v>
      </c>
      <c r="CG7" s="35"/>
      <c r="CH7" s="5">
        <f>SUM(CI7:CL7)</f>
        <v>135.8</v>
      </c>
      <c r="CI7" s="5">
        <v>35.10000000000001</v>
      </c>
      <c r="CJ7" s="5">
        <v>32.7</v>
      </c>
      <c r="CK7" s="5">
        <v>34.4</v>
      </c>
      <c r="CL7" s="5">
        <v>33.6</v>
      </c>
      <c r="CM7" s="35"/>
      <c r="CN7" s="2"/>
      <c r="CO7" s="5"/>
      <c r="CP7" s="5"/>
      <c r="CQ7" s="5"/>
      <c r="CR7" s="5"/>
    </row>
    <row r="8" spans="1:96" s="4" customFormat="1" ht="15">
      <c r="A8" s="2" t="s">
        <v>2</v>
      </c>
      <c r="B8" s="21">
        <f t="shared" si="0"/>
        <v>203.67736810999992</v>
      </c>
      <c r="C8" s="21"/>
      <c r="D8" s="21">
        <v>69.15994420000007</v>
      </c>
      <c r="E8" s="21">
        <v>67.92477788999997</v>
      </c>
      <c r="F8" s="21">
        <v>66.59264601999986</v>
      </c>
      <c r="G8" s="36"/>
      <c r="H8" s="21">
        <f t="shared" si="1"/>
        <v>243.47562721000003</v>
      </c>
      <c r="I8" s="21"/>
      <c r="J8" s="70">
        <v>80.74353677000006</v>
      </c>
      <c r="K8" s="70">
        <v>84.16195138999994</v>
      </c>
      <c r="L8" s="70">
        <v>78.57013905000002</v>
      </c>
      <c r="M8" s="36"/>
      <c r="N8" s="21">
        <f t="shared" si="2"/>
        <v>311.5901888257978</v>
      </c>
      <c r="O8" s="21">
        <v>81.57613680999997</v>
      </c>
      <c r="P8" s="21">
        <v>78.6362891273</v>
      </c>
      <c r="Q8" s="21">
        <v>75.4471824807201</v>
      </c>
      <c r="R8" s="21">
        <v>75.93058040777768</v>
      </c>
      <c r="S8" s="36"/>
      <c r="T8" s="21">
        <f t="shared" si="3"/>
        <v>321.37938587812397</v>
      </c>
      <c r="U8" s="21">
        <v>89.11179576839854</v>
      </c>
      <c r="V8" s="21">
        <v>103.1580802649391</v>
      </c>
      <c r="W8" s="21">
        <v>71.07976417790641</v>
      </c>
      <c r="X8" s="21">
        <v>58.02974566687993</v>
      </c>
      <c r="Y8" s="36"/>
      <c r="Z8" s="21">
        <f t="shared" si="4"/>
        <v>273.5868126600144</v>
      </c>
      <c r="AA8" s="21">
        <v>58.12265214369741</v>
      </c>
      <c r="AB8" s="21">
        <v>110.79181610454245</v>
      </c>
      <c r="AC8" s="21">
        <v>54.503637262153596</v>
      </c>
      <c r="AD8" s="21">
        <v>50.1687071496209</v>
      </c>
      <c r="AE8" s="36"/>
      <c r="AF8" s="21">
        <f t="shared" si="5"/>
        <v>202.14329293088755</v>
      </c>
      <c r="AG8" s="21">
        <v>52.94460096758071</v>
      </c>
      <c r="AH8" s="21">
        <v>56.10551085060617</v>
      </c>
      <c r="AI8" s="21">
        <v>47.4065818186222</v>
      </c>
      <c r="AJ8" s="21">
        <v>45.68659929407849</v>
      </c>
      <c r="AK8" s="36"/>
      <c r="AL8" s="46">
        <f t="shared" si="6"/>
        <v>202.93489686082964</v>
      </c>
      <c r="AM8" s="46">
        <f>53134792.0025567/(1000000)</f>
        <v>53.13479200255674</v>
      </c>
      <c r="AN8" s="46">
        <f>56289926.4906062/(1000000)</f>
        <v>56.28992649060616</v>
      </c>
      <c r="AO8" s="46">
        <f>47658318.4943402/(1000000)</f>
        <v>47.65831849434015</v>
      </c>
      <c r="AP8" s="46">
        <f>45851859.8733266/(1000000)</f>
        <v>45.85185987332657</v>
      </c>
      <c r="AQ8" s="36"/>
      <c r="AR8" s="21">
        <f t="shared" si="7"/>
        <v>163.467936886996</v>
      </c>
      <c r="AS8" s="21">
        <f>45879708.3417569/(1000000)</f>
        <v>45.87970834175689</v>
      </c>
      <c r="AT8" s="21">
        <f>38652477.8764177/(1000000)</f>
        <v>38.65247787641775</v>
      </c>
      <c r="AU8" s="21">
        <f>41904241.4378802/(1000000)</f>
        <v>41.904241437880245</v>
      </c>
      <c r="AV8" s="21">
        <f>37031509.2309411/(1000000)</f>
        <v>37.03150923094112</v>
      </c>
      <c r="AW8" s="36"/>
      <c r="AX8" s="5">
        <v>172.75408490179998</v>
      </c>
      <c r="AY8" s="5">
        <f aca="true" t="shared" si="8" ref="AY8:AY13">AX8-SUM(AZ8:BB8)</f>
        <v>36.884725371</v>
      </c>
      <c r="AZ8" s="5">
        <v>50.7211690648</v>
      </c>
      <c r="BA8" s="5">
        <v>43.19245010079999</v>
      </c>
      <c r="BB8" s="5">
        <v>41.9557403652</v>
      </c>
      <c r="BC8" s="36"/>
      <c r="BD8" s="5">
        <f aca="true" t="shared" si="9" ref="BD8:BD14">SUM(BE8:BH8)</f>
        <v>112.22148002</v>
      </c>
      <c r="BE8" s="5">
        <v>33.08058247000001</v>
      </c>
      <c r="BF8" s="5">
        <v>27.32668</v>
      </c>
      <c r="BG8" s="5">
        <v>26.7410539</v>
      </c>
      <c r="BH8" s="5">
        <v>25.07316365</v>
      </c>
      <c r="BI8" s="36"/>
      <c r="BJ8" s="5">
        <f aca="true" t="shared" si="10" ref="BJ8:BJ14">SUM(BK8:BN8)</f>
        <v>108.80439974</v>
      </c>
      <c r="BK8" s="5">
        <v>28.46591765</v>
      </c>
      <c r="BL8" s="5">
        <v>29.46679906</v>
      </c>
      <c r="BM8" s="5">
        <v>25.072539190000008</v>
      </c>
      <c r="BN8" s="5">
        <v>25.79914383999999</v>
      </c>
      <c r="BO8" s="36"/>
      <c r="BP8" s="5">
        <f aca="true" t="shared" si="11" ref="BP8:BP14">SUM(BQ8:BT8)</f>
        <v>133.2</v>
      </c>
      <c r="BQ8" s="5">
        <v>40.719999999999985</v>
      </c>
      <c r="BR8" s="5">
        <v>35.2</v>
      </c>
      <c r="BS8" s="5">
        <v>32.6</v>
      </c>
      <c r="BT8" s="5">
        <v>24.68</v>
      </c>
      <c r="BU8" s="36"/>
      <c r="BV8" s="5">
        <f aca="true" t="shared" si="12" ref="BV8:BV14">SUM(BW8:BZ8)</f>
        <v>125</v>
      </c>
      <c r="BW8" s="5">
        <v>21.5</v>
      </c>
      <c r="BX8" s="5">
        <v>37.6</v>
      </c>
      <c r="BY8" s="5">
        <v>41.4</v>
      </c>
      <c r="BZ8" s="5">
        <v>24.5</v>
      </c>
      <c r="CA8" s="36"/>
      <c r="CB8" s="5">
        <f aca="true" t="shared" si="13" ref="CB8:CB14">SUM(CC8:CF8)</f>
        <v>105.5</v>
      </c>
      <c r="CC8" s="5">
        <v>28.160000000000004</v>
      </c>
      <c r="CD8" s="5">
        <v>36.27</v>
      </c>
      <c r="CE8" s="5">
        <v>22.97</v>
      </c>
      <c r="CF8" s="5">
        <v>18.1</v>
      </c>
      <c r="CG8" s="36"/>
      <c r="CH8" s="5">
        <f aca="true" t="shared" si="14" ref="CH8:CH14">SUM(CI8:CL8)</f>
        <v>106</v>
      </c>
      <c r="CI8" s="5">
        <v>17.9</v>
      </c>
      <c r="CJ8" s="5">
        <v>28.6</v>
      </c>
      <c r="CK8" s="5">
        <v>31.7</v>
      </c>
      <c r="CL8" s="5">
        <v>27.8</v>
      </c>
      <c r="CM8" s="36"/>
      <c r="CN8" s="2"/>
      <c r="CO8" s="5"/>
      <c r="CP8" s="5"/>
      <c r="CQ8" s="5"/>
      <c r="CR8" s="5"/>
    </row>
    <row r="9" spans="1:96" s="4" customFormat="1" ht="15">
      <c r="A9" s="2" t="s">
        <v>3</v>
      </c>
      <c r="B9" s="21">
        <f t="shared" si="0"/>
        <v>153.8310880899799</v>
      </c>
      <c r="C9" s="21"/>
      <c r="D9" s="21">
        <v>52.07899693842106</v>
      </c>
      <c r="E9" s="21">
        <v>53.479146991032515</v>
      </c>
      <c r="F9" s="21">
        <v>48.27294416052633</v>
      </c>
      <c r="G9" s="36"/>
      <c r="H9" s="21">
        <f t="shared" si="1"/>
        <v>181.88011321249328</v>
      </c>
      <c r="I9" s="21"/>
      <c r="J9" s="70">
        <v>70.6082236391756</v>
      </c>
      <c r="K9" s="70">
        <v>69.75632234749999</v>
      </c>
      <c r="L9" s="70">
        <v>41.515567225817705</v>
      </c>
      <c r="M9" s="36"/>
      <c r="N9" s="21">
        <f t="shared" si="2"/>
        <v>127.57936711968534</v>
      </c>
      <c r="O9" s="21">
        <v>35.86124651110789</v>
      </c>
      <c r="P9" s="21">
        <v>36.01066252670291</v>
      </c>
      <c r="Q9" s="21">
        <v>32.1376539750437</v>
      </c>
      <c r="R9" s="21">
        <v>23.569804106830837</v>
      </c>
      <c r="S9" s="36"/>
      <c r="T9" s="21">
        <f t="shared" si="3"/>
        <v>85.59970528433807</v>
      </c>
      <c r="U9" s="21">
        <v>19.6961345282477</v>
      </c>
      <c r="V9" s="21">
        <v>20.593076985291617</v>
      </c>
      <c r="W9" s="21">
        <v>13.357202456429205</v>
      </c>
      <c r="X9" s="21">
        <v>31.953291314369547</v>
      </c>
      <c r="Y9" s="36"/>
      <c r="Z9" s="21">
        <f t="shared" si="4"/>
        <v>140.48214091876744</v>
      </c>
      <c r="AA9" s="21">
        <v>34.42366445606461</v>
      </c>
      <c r="AB9" s="21">
        <v>38.859354628168724</v>
      </c>
      <c r="AC9" s="21">
        <v>36.5807544078668</v>
      </c>
      <c r="AD9" s="21">
        <v>30.618367426667298</v>
      </c>
      <c r="AE9" s="36"/>
      <c r="AF9" s="21">
        <f t="shared" si="5"/>
        <v>132.47337544787996</v>
      </c>
      <c r="AG9" s="21">
        <v>30.962451261789504</v>
      </c>
      <c r="AH9" s="21">
        <v>34.49408513528802</v>
      </c>
      <c r="AI9" s="21">
        <v>35.92187814333273</v>
      </c>
      <c r="AJ9" s="21">
        <v>31.094960907469726</v>
      </c>
      <c r="AK9" s="36"/>
      <c r="AL9" s="46">
        <f t="shared" si="6"/>
        <v>135.59896144490367</v>
      </c>
      <c r="AM9" s="46">
        <f>31902540.00088/(1000000)</f>
        <v>31.902540000880013</v>
      </c>
      <c r="AN9" s="46">
        <f>35314712.0700152/(1000000)</f>
        <v>35.31471207001521</v>
      </c>
      <c r="AO9" s="46">
        <f>37293928.3596265/(1000000)</f>
        <v>37.29392835962655</v>
      </c>
      <c r="AP9" s="46">
        <f>31087781.0143819/(1000000)</f>
        <v>31.087781014381886</v>
      </c>
      <c r="AQ9" s="36"/>
      <c r="AR9" s="21">
        <f t="shared" si="7"/>
        <v>111.95047972620345</v>
      </c>
      <c r="AS9" s="21">
        <f>28054538.7010975/(1000000)</f>
        <v>28.054538701097485</v>
      </c>
      <c r="AT9" s="21">
        <f>28251290.7758174/(1000000)</f>
        <v>28.251290775817395</v>
      </c>
      <c r="AU9" s="21">
        <f>30335946.7941862/(1000000)</f>
        <v>30.33594679418616</v>
      </c>
      <c r="AV9" s="21">
        <f>25308703.4551024/(1000000)</f>
        <v>25.30870345510242</v>
      </c>
      <c r="AW9" s="36"/>
      <c r="AX9" s="5">
        <v>84.61306031123637</v>
      </c>
      <c r="AY9" s="5">
        <f t="shared" si="8"/>
        <v>19.779533148836364</v>
      </c>
      <c r="AZ9" s="5">
        <v>24.672477530000005</v>
      </c>
      <c r="BA9" s="5">
        <v>25.1131618516</v>
      </c>
      <c r="BB9" s="5">
        <v>15.0478877808</v>
      </c>
      <c r="BC9" s="36"/>
      <c r="BD9" s="5">
        <f t="shared" si="9"/>
        <v>98.9366825389615</v>
      </c>
      <c r="BE9" s="5">
        <v>20.71503509071091</v>
      </c>
      <c r="BF9" s="5">
        <v>26.74761</v>
      </c>
      <c r="BG9" s="5">
        <v>27.6685594920727</v>
      </c>
      <c r="BH9" s="5">
        <v>23.8054779561779</v>
      </c>
      <c r="BI9" s="36"/>
      <c r="BJ9" s="5">
        <f t="shared" si="10"/>
        <v>161.9512980681041</v>
      </c>
      <c r="BK9" s="5">
        <v>33.8970852072</v>
      </c>
      <c r="BL9" s="5">
        <v>39.2438704545853</v>
      </c>
      <c r="BM9" s="5">
        <v>44.25781494558172</v>
      </c>
      <c r="BN9" s="5">
        <v>44.552527460737075</v>
      </c>
      <c r="BO9" s="36"/>
      <c r="BP9" s="5">
        <f t="shared" si="11"/>
        <v>170.9</v>
      </c>
      <c r="BQ9" s="5">
        <v>42.021355627449694</v>
      </c>
      <c r="BR9" s="5">
        <v>44.7</v>
      </c>
      <c r="BS9" s="5">
        <v>38.7</v>
      </c>
      <c r="BT9" s="5">
        <v>45.478644372550306</v>
      </c>
      <c r="BU9" s="36"/>
      <c r="BV9" s="5">
        <f t="shared" si="12"/>
        <v>155</v>
      </c>
      <c r="BW9" s="5">
        <v>33.89999999999999</v>
      </c>
      <c r="BX9" s="5">
        <v>41.2</v>
      </c>
      <c r="BY9" s="5">
        <v>38</v>
      </c>
      <c r="BZ9" s="5">
        <v>41.9</v>
      </c>
      <c r="CA9" s="36"/>
      <c r="CB9" s="5">
        <f t="shared" si="13"/>
        <v>184.3</v>
      </c>
      <c r="CC9" s="5">
        <v>49.92</v>
      </c>
      <c r="CD9" s="5">
        <v>44.53</v>
      </c>
      <c r="CE9" s="5">
        <v>54.95</v>
      </c>
      <c r="CF9" s="5">
        <v>34.9</v>
      </c>
      <c r="CG9" s="36"/>
      <c r="CH9" s="5">
        <f t="shared" si="14"/>
        <v>128</v>
      </c>
      <c r="CI9" s="5">
        <v>45.7</v>
      </c>
      <c r="CJ9" s="5">
        <v>30</v>
      </c>
      <c r="CK9" s="5">
        <v>27</v>
      </c>
      <c r="CL9" s="5">
        <v>25.3</v>
      </c>
      <c r="CM9" s="36"/>
      <c r="CN9" s="2"/>
      <c r="CO9" s="5"/>
      <c r="CP9" s="5"/>
      <c r="CQ9" s="5"/>
      <c r="CR9" s="5"/>
    </row>
    <row r="10" spans="1:96" s="4" customFormat="1" ht="15">
      <c r="A10" s="9" t="s">
        <v>4</v>
      </c>
      <c r="B10" s="21">
        <f t="shared" si="0"/>
        <v>149.65004854866422</v>
      </c>
      <c r="C10" s="21"/>
      <c r="D10" s="21">
        <v>54.214606879700916</v>
      </c>
      <c r="E10" s="21">
        <v>51.50874047668191</v>
      </c>
      <c r="F10" s="21">
        <v>43.92670119228139</v>
      </c>
      <c r="G10" s="36"/>
      <c r="H10" s="21">
        <f t="shared" si="1"/>
        <v>137.1507527587599</v>
      </c>
      <c r="I10" s="21"/>
      <c r="J10" s="70">
        <v>46.80696279091291</v>
      </c>
      <c r="K10" s="70">
        <v>42.57922326687303</v>
      </c>
      <c r="L10" s="70">
        <v>47.76456670097394</v>
      </c>
      <c r="M10" s="36"/>
      <c r="N10" s="21">
        <f t="shared" si="2"/>
        <v>182.42276568177206</v>
      </c>
      <c r="O10" s="21">
        <v>49.58499992971808</v>
      </c>
      <c r="P10" s="21">
        <v>46.568870994597624</v>
      </c>
      <c r="Q10" s="21">
        <v>42.07516698057394</v>
      </c>
      <c r="R10" s="21">
        <v>44.193727776882405</v>
      </c>
      <c r="S10" s="36"/>
      <c r="T10" s="21">
        <f t="shared" si="3"/>
        <v>147.6380705033622</v>
      </c>
      <c r="U10" s="21">
        <v>41.885928044536634</v>
      </c>
      <c r="V10" s="21">
        <v>38.47358174824087</v>
      </c>
      <c r="W10" s="21">
        <v>25.899143381765235</v>
      </c>
      <c r="X10" s="21">
        <v>41.379417328819464</v>
      </c>
      <c r="Y10" s="36"/>
      <c r="Z10" s="22">
        <f t="shared" si="4"/>
        <v>153.2398833445336</v>
      </c>
      <c r="AA10" s="21">
        <v>41.238683082351756</v>
      </c>
      <c r="AB10" s="21">
        <v>37.19298082478016</v>
      </c>
      <c r="AC10" s="21">
        <v>34.0906283940543</v>
      </c>
      <c r="AD10" s="21">
        <v>40.717591043347404</v>
      </c>
      <c r="AE10" s="36"/>
      <c r="AF10" s="22">
        <f t="shared" si="5"/>
        <v>133.1151022143216</v>
      </c>
      <c r="AG10" s="21">
        <v>41.29083725988479</v>
      </c>
      <c r="AH10" s="21">
        <v>31.96829062852369</v>
      </c>
      <c r="AI10" s="21">
        <v>31.696028927787896</v>
      </c>
      <c r="AJ10" s="21">
        <v>28.159945398125235</v>
      </c>
      <c r="AK10" s="36"/>
      <c r="AL10" s="47">
        <f t="shared" si="6"/>
        <v>132.75405022542063</v>
      </c>
      <c r="AM10" s="47">
        <f>41286769.7698848/(1000000)</f>
        <v>41.28676976988476</v>
      </c>
      <c r="AN10" s="46">
        <f>31825938.5397794/(1000000)</f>
        <v>31.82593853977942</v>
      </c>
      <c r="AO10" s="46">
        <f>31499354.224432/(1000000)</f>
        <v>31.499354224432036</v>
      </c>
      <c r="AP10" s="46">
        <f>28141987.6913244/(1000000)</f>
        <v>28.141987691324392</v>
      </c>
      <c r="AQ10" s="36"/>
      <c r="AR10" s="22">
        <f t="shared" si="7"/>
        <v>108.0149281805216</v>
      </c>
      <c r="AS10" s="22">
        <f>29241691.6754814/(1000000)</f>
        <v>29.24169167548137</v>
      </c>
      <c r="AT10" s="22">
        <f>24933531.1924801/(1000000)</f>
        <v>24.933531192480064</v>
      </c>
      <c r="AU10" s="21">
        <f>27167483.0016104/(1000000)</f>
        <v>27.167483001610435</v>
      </c>
      <c r="AV10" s="21">
        <f>26672222.3109497/(1000000)</f>
        <v>26.672222310949714</v>
      </c>
      <c r="AW10" s="36"/>
      <c r="AX10" s="17">
        <v>83.62173559000003</v>
      </c>
      <c r="AY10" s="5">
        <f t="shared" si="8"/>
        <v>18.239213850000027</v>
      </c>
      <c r="AZ10" s="5">
        <v>20.7</v>
      </c>
      <c r="BA10" s="5">
        <v>20.968163410000006</v>
      </c>
      <c r="BB10" s="5">
        <v>23.714358329999996</v>
      </c>
      <c r="BC10" s="36"/>
      <c r="BD10" s="5">
        <f t="shared" si="9"/>
        <v>83.15819422</v>
      </c>
      <c r="BE10" s="5">
        <v>34.28915648</v>
      </c>
      <c r="BF10" s="5">
        <v>19.27246</v>
      </c>
      <c r="BG10" s="5">
        <v>16.76014218</v>
      </c>
      <c r="BH10" s="5">
        <v>12.83643556</v>
      </c>
      <c r="BI10" s="36"/>
      <c r="BJ10" s="5">
        <f t="shared" si="10"/>
        <v>70.09363487</v>
      </c>
      <c r="BK10" s="5">
        <v>19.36472652</v>
      </c>
      <c r="BL10" s="5">
        <v>16.55438493</v>
      </c>
      <c r="BM10" s="5">
        <v>14.791101269999999</v>
      </c>
      <c r="BN10" s="5">
        <v>19.383422149999998</v>
      </c>
      <c r="BO10" s="36"/>
      <c r="BP10" s="5">
        <f t="shared" si="11"/>
        <v>88.5558981274497</v>
      </c>
      <c r="BQ10" s="5">
        <v>42.021355627449694</v>
      </c>
      <c r="BR10" s="5">
        <v>17.1</v>
      </c>
      <c r="BS10" s="5">
        <v>15.9</v>
      </c>
      <c r="BT10" s="5">
        <v>13.534542500000002</v>
      </c>
      <c r="BU10" s="36"/>
      <c r="BV10" s="5">
        <f t="shared" si="12"/>
        <v>68.09999999999998</v>
      </c>
      <c r="BW10" s="5">
        <v>24.19999999999999</v>
      </c>
      <c r="BX10" s="5">
        <v>17</v>
      </c>
      <c r="BY10" s="5">
        <v>15.8</v>
      </c>
      <c r="BZ10" s="5">
        <v>11.1</v>
      </c>
      <c r="CA10" s="36"/>
      <c r="CB10" s="5">
        <f t="shared" si="13"/>
        <v>61.5</v>
      </c>
      <c r="CC10" s="5">
        <v>19.07</v>
      </c>
      <c r="CD10" s="5">
        <v>15.11</v>
      </c>
      <c r="CE10" s="5">
        <v>14.92</v>
      </c>
      <c r="CF10" s="5">
        <v>12.4</v>
      </c>
      <c r="CG10" s="36"/>
      <c r="CH10" s="5">
        <f t="shared" si="14"/>
        <v>54.8</v>
      </c>
      <c r="CI10" s="5">
        <v>11.799999999999999</v>
      </c>
      <c r="CJ10" s="5">
        <v>13.9</v>
      </c>
      <c r="CK10" s="5">
        <v>15.3</v>
      </c>
      <c r="CL10" s="5">
        <v>13.8</v>
      </c>
      <c r="CM10" s="36"/>
      <c r="CN10" s="2"/>
      <c r="CO10" s="5"/>
      <c r="CP10" s="5"/>
      <c r="CQ10" s="5"/>
      <c r="CR10" s="5"/>
    </row>
    <row r="11" spans="1:96" s="4" customFormat="1" ht="15">
      <c r="A11" s="2" t="s">
        <v>5</v>
      </c>
      <c r="B11" s="21">
        <f t="shared" si="0"/>
        <v>92.05149266600003</v>
      </c>
      <c r="C11" s="21"/>
      <c r="D11" s="21">
        <v>30.263155400000016</v>
      </c>
      <c r="E11" s="21">
        <v>28.740636561</v>
      </c>
      <c r="F11" s="21">
        <v>33.047700705000004</v>
      </c>
      <c r="G11" s="36"/>
      <c r="H11" s="21">
        <f t="shared" si="1"/>
        <v>92.5275238</v>
      </c>
      <c r="I11" s="21"/>
      <c r="J11" s="70">
        <v>25.536184849999994</v>
      </c>
      <c r="K11" s="70">
        <v>33.64007613000002</v>
      </c>
      <c r="L11" s="70">
        <v>33.35126281999999</v>
      </c>
      <c r="M11" s="36"/>
      <c r="N11" s="21">
        <f t="shared" si="2"/>
        <v>120.07178726020001</v>
      </c>
      <c r="O11" s="21">
        <v>30.11629730000001</v>
      </c>
      <c r="P11" s="21">
        <v>29.49965475</v>
      </c>
      <c r="Q11" s="21">
        <v>31.418110171199995</v>
      </c>
      <c r="R11" s="21">
        <v>29.03772503900001</v>
      </c>
      <c r="S11" s="36"/>
      <c r="T11" s="21">
        <f t="shared" si="3"/>
        <v>100.11872432679999</v>
      </c>
      <c r="U11" s="21">
        <v>26.98318205</v>
      </c>
      <c r="V11" s="21">
        <v>24.616048239999998</v>
      </c>
      <c r="W11" s="21">
        <v>19.022293418</v>
      </c>
      <c r="X11" s="21">
        <v>29.497200618799997</v>
      </c>
      <c r="Y11" s="36"/>
      <c r="Z11" s="21">
        <f t="shared" si="4"/>
        <v>105.73087255862323</v>
      </c>
      <c r="AA11" s="21">
        <v>29.701128027125407</v>
      </c>
      <c r="AB11" s="21">
        <v>24.736418668967925</v>
      </c>
      <c r="AC11" s="21">
        <v>26.3917709464523</v>
      </c>
      <c r="AD11" s="21">
        <v>24.9015549160776</v>
      </c>
      <c r="AE11" s="36"/>
      <c r="AF11" s="21">
        <f t="shared" si="5"/>
        <v>89.91306171249067</v>
      </c>
      <c r="AG11" s="21">
        <v>27.263391033397383</v>
      </c>
      <c r="AH11" s="21">
        <v>20.047221696088396</v>
      </c>
      <c r="AI11" s="21">
        <v>23.441337603935494</v>
      </c>
      <c r="AJ11" s="21">
        <v>19.161111379069396</v>
      </c>
      <c r="AK11" s="36"/>
      <c r="AL11" s="46">
        <f t="shared" si="6"/>
        <v>89.91097039545868</v>
      </c>
      <c r="AM11" s="46">
        <f>27263391.0333974/(1000000)</f>
        <v>27.26339103339738</v>
      </c>
      <c r="AN11" s="46">
        <f>20047221.6960884/(1000000)</f>
        <v>20.047221696088396</v>
      </c>
      <c r="AO11" s="46">
        <f>23439968.6549035/(1000000)</f>
        <v>23.439968654903495</v>
      </c>
      <c r="AP11" s="46">
        <f>19160389.0110694/(1000000)</f>
        <v>19.1603890110694</v>
      </c>
      <c r="AQ11" s="36"/>
      <c r="AR11" s="21">
        <f t="shared" si="7"/>
        <v>86.85797853865606</v>
      </c>
      <c r="AS11" s="21">
        <f>22884586.3855192/(1000000)</f>
        <v>22.88458638551925</v>
      </c>
      <c r="AT11" s="21">
        <f>18293714.4507924/(1000000)</f>
        <v>18.293714450792397</v>
      </c>
      <c r="AU11" s="21">
        <f>22125158.3506444/(1000000)</f>
        <v>22.12515835064441</v>
      </c>
      <c r="AV11" s="21">
        <f>23554519.3517/(1000000)</f>
        <v>23.554519351699998</v>
      </c>
      <c r="AW11" s="36"/>
      <c r="AX11" s="5">
        <v>82.98690762999999</v>
      </c>
      <c r="AY11" s="5">
        <f t="shared" si="8"/>
        <v>24.244537859999994</v>
      </c>
      <c r="AZ11" s="5">
        <v>19.408388149999997</v>
      </c>
      <c r="BA11" s="5">
        <v>17.532747379999996</v>
      </c>
      <c r="BB11" s="5">
        <v>21.801234240000003</v>
      </c>
      <c r="BC11" s="36"/>
      <c r="BD11" s="5">
        <f t="shared" si="9"/>
        <v>61.72312012999999</v>
      </c>
      <c r="BE11" s="5">
        <v>19.002440209999996</v>
      </c>
      <c r="BF11" s="5">
        <v>14.11947</v>
      </c>
      <c r="BG11" s="5">
        <v>16.28326485</v>
      </c>
      <c r="BH11" s="5">
        <v>12.31794507</v>
      </c>
      <c r="BI11" s="36"/>
      <c r="BJ11" s="5">
        <f t="shared" si="10"/>
        <v>54.70936388</v>
      </c>
      <c r="BK11" s="5">
        <v>15.76747569</v>
      </c>
      <c r="BL11" s="5">
        <v>7.47172854</v>
      </c>
      <c r="BM11" s="5">
        <v>16.59940849</v>
      </c>
      <c r="BN11" s="5">
        <v>14.87075116</v>
      </c>
      <c r="BO11" s="36"/>
      <c r="BP11" s="5">
        <f t="shared" si="11"/>
        <v>52.4</v>
      </c>
      <c r="BQ11" s="5">
        <v>12.929500559999997</v>
      </c>
      <c r="BR11" s="5">
        <v>11.3</v>
      </c>
      <c r="BS11" s="5">
        <v>12.9</v>
      </c>
      <c r="BT11" s="5">
        <v>15.27049944</v>
      </c>
      <c r="BU11" s="36"/>
      <c r="BV11" s="5">
        <f t="shared" si="12"/>
        <v>54.3</v>
      </c>
      <c r="BW11" s="5">
        <v>13.9</v>
      </c>
      <c r="BX11" s="5">
        <v>14.1</v>
      </c>
      <c r="BY11" s="5">
        <v>12.9</v>
      </c>
      <c r="BZ11" s="5">
        <v>13.4</v>
      </c>
      <c r="CA11" s="36"/>
      <c r="CB11" s="5">
        <f t="shared" si="13"/>
        <v>48.39999999999999</v>
      </c>
      <c r="CC11" s="5">
        <v>11.389999999999993</v>
      </c>
      <c r="CD11" s="5">
        <v>13.05</v>
      </c>
      <c r="CE11" s="5">
        <v>13.16</v>
      </c>
      <c r="CF11" s="5">
        <v>10.8</v>
      </c>
      <c r="CG11" s="36"/>
      <c r="CH11" s="5">
        <f t="shared" si="14"/>
        <v>44.7</v>
      </c>
      <c r="CI11" s="5">
        <v>10.900000000000007</v>
      </c>
      <c r="CJ11" s="5">
        <v>11.6</v>
      </c>
      <c r="CK11" s="5">
        <v>10.4</v>
      </c>
      <c r="CL11" s="5">
        <v>11.8</v>
      </c>
      <c r="CM11" s="36"/>
      <c r="CN11" s="2"/>
      <c r="CO11" s="5"/>
      <c r="CP11" s="5"/>
      <c r="CQ11" s="5"/>
      <c r="CR11" s="5"/>
    </row>
    <row r="12" spans="1:96" s="4" customFormat="1" ht="15">
      <c r="A12" s="2" t="s">
        <v>6</v>
      </c>
      <c r="B12" s="21">
        <f t="shared" si="0"/>
        <v>262.58939101273666</v>
      </c>
      <c r="C12" s="21"/>
      <c r="D12" s="21">
        <v>93.82200510276121</v>
      </c>
      <c r="E12" s="21">
        <v>89.72012232151663</v>
      </c>
      <c r="F12" s="21">
        <v>79.04726358845879</v>
      </c>
      <c r="G12" s="36"/>
      <c r="H12" s="21">
        <f t="shared" si="1"/>
        <v>237.2160141501139</v>
      </c>
      <c r="I12" s="21"/>
      <c r="J12" s="70">
        <v>86.69664557935646</v>
      </c>
      <c r="K12" s="70">
        <v>82.45035939462703</v>
      </c>
      <c r="L12" s="70">
        <v>68.06900917613041</v>
      </c>
      <c r="M12" s="36"/>
      <c r="N12" s="21">
        <f t="shared" si="2"/>
        <v>285.9953778334236</v>
      </c>
      <c r="O12" s="21">
        <v>86.06927745351432</v>
      </c>
      <c r="P12" s="21">
        <v>73.82643285470971</v>
      </c>
      <c r="Q12" s="21">
        <v>66.8618579377006</v>
      </c>
      <c r="R12" s="21">
        <v>59.23780958749899</v>
      </c>
      <c r="S12" s="36"/>
      <c r="T12" s="21">
        <f t="shared" si="3"/>
        <v>229.2787676510804</v>
      </c>
      <c r="U12" s="21">
        <v>66.74297488438957</v>
      </c>
      <c r="V12" s="21">
        <v>58.388077629807</v>
      </c>
      <c r="W12" s="21">
        <v>34.49459277041891</v>
      </c>
      <c r="X12" s="21">
        <v>69.65312236646493</v>
      </c>
      <c r="Y12" s="36"/>
      <c r="Z12" s="21">
        <f t="shared" si="4"/>
        <v>268.3034521261486</v>
      </c>
      <c r="AA12" s="21">
        <v>80.06525768687052</v>
      </c>
      <c r="AB12" s="21">
        <v>63.251963330973254</v>
      </c>
      <c r="AC12" s="21">
        <v>62.2926736856716</v>
      </c>
      <c r="AD12" s="21">
        <v>62.6935574226332</v>
      </c>
      <c r="AE12" s="36"/>
      <c r="AF12" s="21">
        <f t="shared" si="5"/>
        <v>249.02267736114177</v>
      </c>
      <c r="AG12" s="21">
        <v>78.51078989840543</v>
      </c>
      <c r="AH12" s="21">
        <v>56.9210612965364</v>
      </c>
      <c r="AI12" s="21">
        <v>53.030334034853055</v>
      </c>
      <c r="AJ12" s="21">
        <v>60.56049213134687</v>
      </c>
      <c r="AK12" s="36"/>
      <c r="AL12" s="46">
        <f t="shared" si="6"/>
        <v>246.66333737036592</v>
      </c>
      <c r="AM12" s="46">
        <f>78318828.7086295/(1000000)</f>
        <v>78.31882870862947</v>
      </c>
      <c r="AN12" s="46">
        <f>56127131.0701017/(1000000)</f>
        <v>56.12713107010174</v>
      </c>
      <c r="AO12" s="46">
        <f>51993513.3939166/(1000000)</f>
        <v>51.99351339391662</v>
      </c>
      <c r="AP12" s="46">
        <f>60223864.1977181/(1000000)</f>
        <v>60.2238641977181</v>
      </c>
      <c r="AQ12" s="36"/>
      <c r="AR12" s="21">
        <f t="shared" si="7"/>
        <v>211.35314607864402</v>
      </c>
      <c r="AS12" s="21">
        <f>72575966.0084689/(1000000)</f>
        <v>72.57596600846887</v>
      </c>
      <c r="AT12" s="21">
        <f>44933698.4706278/(1000000)</f>
        <v>44.93369847062784</v>
      </c>
      <c r="AU12" s="21">
        <f>44873320.4385711/(1000000)</f>
        <v>44.87332043857111</v>
      </c>
      <c r="AV12" s="21">
        <f>48970161.1609762/(1000000)</f>
        <v>48.970161160976204</v>
      </c>
      <c r="AW12" s="36"/>
      <c r="AX12" s="5">
        <v>165.7871500587295</v>
      </c>
      <c r="AY12" s="5">
        <f t="shared" si="8"/>
        <v>50.31397762032495</v>
      </c>
      <c r="AZ12" s="5">
        <v>36.87</v>
      </c>
      <c r="BA12" s="5">
        <v>39.56457270297122</v>
      </c>
      <c r="BB12" s="5">
        <v>39.03859973543334</v>
      </c>
      <c r="BC12" s="36"/>
      <c r="BD12" s="5">
        <f t="shared" si="9"/>
        <v>158.90356474822346</v>
      </c>
      <c r="BE12" s="5">
        <v>52.66438968395835</v>
      </c>
      <c r="BF12" s="5">
        <v>34.4225</v>
      </c>
      <c r="BG12" s="5">
        <v>35.6848797798409</v>
      </c>
      <c r="BH12" s="5">
        <v>36.1317952844242</v>
      </c>
      <c r="BI12" s="36"/>
      <c r="BJ12" s="5">
        <f t="shared" si="10"/>
        <v>170.99496225887364</v>
      </c>
      <c r="BK12" s="5">
        <v>50.9606776924175</v>
      </c>
      <c r="BL12" s="5">
        <v>39.333841913289454</v>
      </c>
      <c r="BM12" s="5">
        <v>40.676321480750005</v>
      </c>
      <c r="BN12" s="5">
        <v>40.02412117241666</v>
      </c>
      <c r="BO12" s="36"/>
      <c r="BP12" s="5">
        <f t="shared" si="11"/>
        <v>129.2</v>
      </c>
      <c r="BQ12" s="5">
        <v>28.498609137375</v>
      </c>
      <c r="BR12" s="5">
        <v>32.8</v>
      </c>
      <c r="BS12" s="5">
        <v>27.8</v>
      </c>
      <c r="BT12" s="5">
        <v>40.101390862624996</v>
      </c>
      <c r="BU12" s="36"/>
      <c r="BV12" s="5">
        <f t="shared" si="12"/>
        <v>153.4</v>
      </c>
      <c r="BW12" s="5">
        <v>47.2</v>
      </c>
      <c r="BX12" s="5">
        <v>30</v>
      </c>
      <c r="BY12" s="5">
        <v>26.8</v>
      </c>
      <c r="BZ12" s="5">
        <v>49.4</v>
      </c>
      <c r="CA12" s="36"/>
      <c r="CB12" s="5">
        <f t="shared" si="13"/>
        <v>153</v>
      </c>
      <c r="CC12" s="5">
        <v>46.37</v>
      </c>
      <c r="CD12" s="5">
        <v>22.6</v>
      </c>
      <c r="CE12" s="5">
        <v>38.13</v>
      </c>
      <c r="CF12" s="5">
        <v>45.9</v>
      </c>
      <c r="CG12" s="36"/>
      <c r="CH12" s="5">
        <f t="shared" si="14"/>
        <v>152.1</v>
      </c>
      <c r="CI12" s="5">
        <v>34.29999999999999</v>
      </c>
      <c r="CJ12" s="5">
        <v>35.1</v>
      </c>
      <c r="CK12" s="5">
        <v>38.2</v>
      </c>
      <c r="CL12" s="5">
        <v>44.5</v>
      </c>
      <c r="CM12" s="36"/>
      <c r="CN12" s="2"/>
      <c r="CO12" s="5"/>
      <c r="CP12" s="5"/>
      <c r="CQ12" s="5"/>
      <c r="CR12" s="5"/>
    </row>
    <row r="13" spans="1:96" s="4" customFormat="1" ht="15">
      <c r="A13" s="2" t="s">
        <v>10</v>
      </c>
      <c r="B13" s="21">
        <f t="shared" si="0"/>
        <v>20.452556350000012</v>
      </c>
      <c r="C13" s="21"/>
      <c r="D13" s="21">
        <v>6.237858969999998</v>
      </c>
      <c r="E13" s="21">
        <v>7.749456380000009</v>
      </c>
      <c r="F13" s="21">
        <v>6.465241000000006</v>
      </c>
      <c r="G13" s="37"/>
      <c r="H13" s="21">
        <f t="shared" si="1"/>
        <v>11.765095259999997</v>
      </c>
      <c r="I13" s="21"/>
      <c r="J13" s="70">
        <v>4.346330389999998</v>
      </c>
      <c r="K13" s="70">
        <v>3.82340111</v>
      </c>
      <c r="L13" s="70">
        <v>3.5953637599999997</v>
      </c>
      <c r="M13" s="37"/>
      <c r="N13" s="21">
        <f t="shared" si="2"/>
        <v>17.58164907971999</v>
      </c>
      <c r="O13" s="21">
        <v>5.725013580199994</v>
      </c>
      <c r="P13" s="21">
        <v>5.704030099999998</v>
      </c>
      <c r="Q13" s="21">
        <v>3.008244669520001</v>
      </c>
      <c r="R13" s="21">
        <v>3.1443607299999976</v>
      </c>
      <c r="S13" s="37"/>
      <c r="T13" s="21">
        <f t="shared" si="3"/>
        <v>11.631877240800002</v>
      </c>
      <c r="U13" s="21">
        <v>3.5402202088000014</v>
      </c>
      <c r="V13" s="21">
        <v>3.8771495599999994</v>
      </c>
      <c r="W13" s="21">
        <v>0.6406948791999998</v>
      </c>
      <c r="X13" s="21">
        <v>3.573812592800001</v>
      </c>
      <c r="Y13" s="37"/>
      <c r="Z13" s="21">
        <f t="shared" si="4"/>
        <v>14.100192336487083</v>
      </c>
      <c r="AA13" s="21">
        <v>3.5283341339103003</v>
      </c>
      <c r="AB13" s="21">
        <v>3.2566253284319218</v>
      </c>
      <c r="AC13" s="21">
        <v>2.7597525651667203</v>
      </c>
      <c r="AD13" s="21">
        <v>4.55548030897814</v>
      </c>
      <c r="AE13" s="37"/>
      <c r="AF13" s="21">
        <f t="shared" si="5"/>
        <v>17.194899860873004</v>
      </c>
      <c r="AG13" s="21">
        <v>3.1086305290903002</v>
      </c>
      <c r="AH13" s="21">
        <v>3.3438488253903</v>
      </c>
      <c r="AI13" s="21">
        <v>6.199430349071905</v>
      </c>
      <c r="AJ13" s="21">
        <v>4.542990157320499</v>
      </c>
      <c r="AK13" s="37"/>
      <c r="AL13" s="46">
        <f t="shared" si="6"/>
        <v>31.715214889043914</v>
      </c>
      <c r="AM13" s="46">
        <f>8463783.9290903/(1000000)</f>
        <v>8.4637839290903</v>
      </c>
      <c r="AN13" s="46">
        <f>6821739.2053903/(1000000)</f>
        <v>6.821739205390299</v>
      </c>
      <c r="AO13" s="46">
        <f>9007730.64724281/(1000000)</f>
        <v>9.007730647242814</v>
      </c>
      <c r="AP13" s="46">
        <f>7421961.1073205/(1000000)</f>
        <v>7.4219611073205005</v>
      </c>
      <c r="AQ13" s="37"/>
      <c r="AR13" s="21">
        <f t="shared" si="7"/>
        <v>31.0106652362932</v>
      </c>
      <c r="AS13" s="21">
        <f>10269316.8800839/(1000000)</f>
        <v>10.269316880083911</v>
      </c>
      <c r="AT13" s="21">
        <f>7003076.41755727/(1000000)</f>
        <v>7.003076417557267</v>
      </c>
      <c r="AU13" s="21">
        <f>5664498.8636669/(1000000)</f>
        <v>5.6644988636669</v>
      </c>
      <c r="AV13" s="21">
        <f>8073773.07498512/(1000000)</f>
        <v>8.07377307498512</v>
      </c>
      <c r="AW13" s="37"/>
      <c r="AX13" s="5">
        <v>65.9253623040909</v>
      </c>
      <c r="AY13" s="5">
        <f t="shared" si="8"/>
        <v>18.750706544999993</v>
      </c>
      <c r="AZ13" s="5">
        <f>12.77</f>
        <v>12.77</v>
      </c>
      <c r="BA13" s="5">
        <v>13.592169290909093</v>
      </c>
      <c r="BB13" s="5">
        <v>20.81248646818181</v>
      </c>
      <c r="BC13" s="37"/>
      <c r="BD13" s="5">
        <f t="shared" si="9"/>
        <v>57.187020350000004</v>
      </c>
      <c r="BE13" s="5">
        <v>15.75827592</v>
      </c>
      <c r="BF13" s="5">
        <v>12.71662</v>
      </c>
      <c r="BG13" s="5">
        <v>13.3742181772727</v>
      </c>
      <c r="BH13" s="5">
        <v>15.3379062527273</v>
      </c>
      <c r="BI13" s="37"/>
      <c r="BJ13" s="5">
        <f t="shared" si="10"/>
        <v>51.80351254</v>
      </c>
      <c r="BK13" s="5">
        <v>14.3195</v>
      </c>
      <c r="BL13" s="5">
        <v>13.20871049</v>
      </c>
      <c r="BM13" s="5">
        <v>12.802943159999998</v>
      </c>
      <c r="BN13" s="5">
        <v>11.472358889999999</v>
      </c>
      <c r="BO13" s="37"/>
      <c r="BP13" s="5">
        <f t="shared" si="11"/>
        <v>52.7</v>
      </c>
      <c r="BQ13" s="5">
        <v>15.899152830000006</v>
      </c>
      <c r="BR13" s="5">
        <v>12</v>
      </c>
      <c r="BS13" s="5">
        <v>11.9</v>
      </c>
      <c r="BT13" s="5">
        <v>12.90084717</v>
      </c>
      <c r="BU13" s="37"/>
      <c r="BV13" s="5">
        <f t="shared" si="12"/>
        <v>52.5</v>
      </c>
      <c r="BW13" s="5">
        <v>20.86</v>
      </c>
      <c r="BX13" s="5">
        <v>12.94</v>
      </c>
      <c r="BY13" s="5">
        <v>12.1</v>
      </c>
      <c r="BZ13" s="5">
        <v>6.6</v>
      </c>
      <c r="CA13" s="37"/>
      <c r="CB13" s="5">
        <f t="shared" si="13"/>
        <v>66.4</v>
      </c>
      <c r="CC13" s="5">
        <v>18.89</v>
      </c>
      <c r="CD13" s="5">
        <v>16.39</v>
      </c>
      <c r="CE13" s="5">
        <v>16.92</v>
      </c>
      <c r="CF13" s="5">
        <v>14.2</v>
      </c>
      <c r="CG13" s="37"/>
      <c r="CH13" s="5">
        <f t="shared" si="14"/>
        <v>68.7</v>
      </c>
      <c r="CI13" s="5">
        <v>19.300000000000004</v>
      </c>
      <c r="CJ13" s="5">
        <v>17.6</v>
      </c>
      <c r="CK13" s="5">
        <v>16.3</v>
      </c>
      <c r="CL13" s="5">
        <v>15.5</v>
      </c>
      <c r="CM13" s="37"/>
      <c r="CN13" s="2"/>
      <c r="CO13" s="5"/>
      <c r="CP13" s="5"/>
      <c r="CQ13" s="5"/>
      <c r="CR13" s="5"/>
    </row>
    <row r="14" spans="1:96" s="4" customFormat="1" ht="15">
      <c r="A14" s="4" t="s">
        <v>7</v>
      </c>
      <c r="B14" s="25">
        <f>SUM(B7:B13)</f>
        <v>1112.0860117190743</v>
      </c>
      <c r="C14" s="24">
        <f>SUM(C7:C13)</f>
        <v>0</v>
      </c>
      <c r="D14" s="24">
        <f>SUM(D7:D13)</f>
        <v>380.29015236463266</v>
      </c>
      <c r="E14" s="24">
        <f>SUM(E7:E13)</f>
        <v>377.8206822952949</v>
      </c>
      <c r="F14" s="24">
        <f>SUM(F7:F13)</f>
        <v>353.9751770591466</v>
      </c>
      <c r="G14" s="38"/>
      <c r="H14" s="25">
        <f>SUM(H7:H13)</f>
        <v>1106.0949313098622</v>
      </c>
      <c r="I14" s="24">
        <f>SUM(I7:I13)</f>
        <v>0</v>
      </c>
      <c r="J14" s="24">
        <f>SUM(J7:J13)</f>
        <v>383.47322667533774</v>
      </c>
      <c r="K14" s="24">
        <f>SUM(K7:K13)</f>
        <v>387.69448957431456</v>
      </c>
      <c r="L14" s="24">
        <f>SUM(L7:L13)</f>
        <v>334.9272150602099</v>
      </c>
      <c r="M14" s="38"/>
      <c r="N14" s="25">
        <f>SUM(N7:N13)</f>
        <v>1278.5493795079285</v>
      </c>
      <c r="O14" s="24">
        <f>SUM(O7:O13)</f>
        <v>355.3827364352519</v>
      </c>
      <c r="P14" s="24">
        <f>SUM(P7:P13)</f>
        <v>326.8605462979644</v>
      </c>
      <c r="Q14" s="24">
        <f>SUM(Q7:Q13)</f>
        <v>309.4704015851944</v>
      </c>
      <c r="R14" s="24">
        <f>SUM(R7:R13)</f>
        <v>286.83569518951793</v>
      </c>
      <c r="S14" s="38"/>
      <c r="T14" s="25">
        <f>SUM(T7:T13)</f>
        <v>1114.9786994418896</v>
      </c>
      <c r="U14" s="24">
        <f>SUM(U7:U13)</f>
        <v>310.52170396578936</v>
      </c>
      <c r="V14" s="24">
        <f>SUM(V7:V13)</f>
        <v>296.9531998705669</v>
      </c>
      <c r="W14" s="24">
        <f>SUM(W7:W13)</f>
        <v>211.10116074634746</v>
      </c>
      <c r="X14" s="24">
        <f>SUM(X7:X13)</f>
        <v>296.4026348591861</v>
      </c>
      <c r="Y14" s="38"/>
      <c r="Z14" s="25">
        <f>SUM(Z7:Z13)</f>
        <v>1189.705125612275</v>
      </c>
      <c r="AA14" s="24">
        <f>SUM(AA7:AA13)</f>
        <v>311.1497957685392</v>
      </c>
      <c r="AB14" s="24">
        <f>SUM(AB7:AB13)</f>
        <v>330.64577800763806</v>
      </c>
      <c r="AC14" s="24">
        <f>SUM(AC7:AC13)</f>
        <v>275.52021218597145</v>
      </c>
      <c r="AD14" s="24">
        <f>SUM(AD7:AD13)</f>
        <v>272.3893396501263</v>
      </c>
      <c r="AE14" s="38"/>
      <c r="AF14" s="25">
        <f>SUM(AF7:AF13)</f>
        <v>1042.8102058238417</v>
      </c>
      <c r="AG14" s="24">
        <f>SUM(AG7:AG13)</f>
        <v>294.1828950719923</v>
      </c>
      <c r="AH14" s="24">
        <f>SUM(AH7:AH13)</f>
        <v>255.14128360876308</v>
      </c>
      <c r="AI14" s="24">
        <f>SUM(AI7:AI13)</f>
        <v>249.65703673708697</v>
      </c>
      <c r="AJ14" s="24">
        <f>SUM(AJ7:AJ13)</f>
        <v>243.82899040599935</v>
      </c>
      <c r="AK14" s="38"/>
      <c r="AL14" s="48">
        <f>SUM(AL7:AL13)</f>
        <v>1058.5970791981204</v>
      </c>
      <c r="AM14" s="49">
        <f>SUM(AM7:AM13)</f>
        <v>300.4418202147776</v>
      </c>
      <c r="AN14" s="49">
        <f>SUM(AN7:AN13)</f>
        <v>258.63676059686185</v>
      </c>
      <c r="AO14" s="49">
        <f>SUM(AO7:AO13)</f>
        <v>252.82971708339943</v>
      </c>
      <c r="AP14" s="49">
        <f>SUM(AP7:AP13)</f>
        <v>246.68878130308144</v>
      </c>
      <c r="AQ14" s="38"/>
      <c r="AR14" s="27">
        <f>SUM(AR7:AR13)</f>
        <v>914.7620630272545</v>
      </c>
      <c r="AS14" s="26">
        <f>SUM(AS7:AS13)</f>
        <v>264.5870323170804</v>
      </c>
      <c r="AT14" s="26">
        <f>SUM(AT7:AT13)</f>
        <v>209.8214363127018</v>
      </c>
      <c r="AU14" s="26">
        <f>SUM(AU7:AU13)</f>
        <v>220.40687985508092</v>
      </c>
      <c r="AV14" s="26">
        <f>SUM(AV7:AV13)</f>
        <v>219.94671454239133</v>
      </c>
      <c r="AW14" s="38"/>
      <c r="AX14" s="10">
        <f>SUM(AX7:AX13)</f>
        <v>854.2151013570123</v>
      </c>
      <c r="AY14" s="10">
        <f>SUM(AY7:AY13)</f>
        <v>220.84290947601536</v>
      </c>
      <c r="AZ14" s="10">
        <f>SUM(AZ7:AZ13)</f>
        <v>214.78805257636654</v>
      </c>
      <c r="BA14" s="10">
        <f>SUM(BA7:BA13)</f>
        <v>206.4607894938437</v>
      </c>
      <c r="BB14" s="10">
        <f>SUM(BB7:BB13)</f>
        <v>212.12334981078666</v>
      </c>
      <c r="BC14" s="38"/>
      <c r="BD14" s="10">
        <f t="shared" si="9"/>
        <v>764.1639931944597</v>
      </c>
      <c r="BE14" s="10">
        <f>SUM(BE7:BE13)</f>
        <v>225.63023749514676</v>
      </c>
      <c r="BF14" s="10">
        <f>SUM(BF7:BF13)</f>
        <v>178.77578000000003</v>
      </c>
      <c r="BG14" s="10">
        <f>SUM(BG7:BG13)</f>
        <v>182.85742225041568</v>
      </c>
      <c r="BH14" s="10">
        <f>SUM(BH7:BH13)</f>
        <v>176.9005534488973</v>
      </c>
      <c r="BI14" s="38"/>
      <c r="BJ14" s="10">
        <f t="shared" si="10"/>
        <v>805.2108541209556</v>
      </c>
      <c r="BK14" s="10">
        <f>SUM(BK7:BK13)</f>
        <v>212.5786682856322</v>
      </c>
      <c r="BL14" s="10">
        <f>SUM(BL7:BL13)</f>
        <v>188.76940532114028</v>
      </c>
      <c r="BM14" s="10">
        <f>SUM(BM7:BM13)</f>
        <v>200.83326167688642</v>
      </c>
      <c r="BN14" s="10">
        <f>SUM(BN7:BN13)</f>
        <v>203.02951883729665</v>
      </c>
      <c r="BO14" s="38"/>
      <c r="BP14" s="10">
        <f t="shared" si="11"/>
        <v>788.3558981274497</v>
      </c>
      <c r="BQ14" s="10">
        <f>SUM(BQ7:BQ13)</f>
        <v>228.50038339950964</v>
      </c>
      <c r="BR14" s="10">
        <f>SUM(BR7:BR13)</f>
        <v>188.3</v>
      </c>
      <c r="BS14" s="10">
        <f>SUM(BS7:BS13)</f>
        <v>178.20000000000002</v>
      </c>
      <c r="BT14" s="10">
        <f>SUM(BT7:BT13)</f>
        <v>193.35551472794</v>
      </c>
      <c r="BU14" s="38"/>
      <c r="BV14" s="10">
        <f t="shared" si="12"/>
        <v>758.2</v>
      </c>
      <c r="BW14" s="10">
        <f>SUM(BW7:BW13)</f>
        <v>202.53000000000003</v>
      </c>
      <c r="BX14" s="10">
        <f>SUM(BX7:BX13)</f>
        <v>188.60999999999999</v>
      </c>
      <c r="BY14" s="10">
        <f>SUM(BY7:BY13)</f>
        <v>182.46</v>
      </c>
      <c r="BZ14" s="10">
        <f>SUM(BZ7:BZ13)</f>
        <v>184.6</v>
      </c>
      <c r="CA14" s="38"/>
      <c r="CB14" s="10">
        <f t="shared" si="13"/>
        <v>759.1999999999999</v>
      </c>
      <c r="CC14" s="10">
        <f>SUM(CC7:CC13)</f>
        <v>211.71999999999997</v>
      </c>
      <c r="CD14" s="10">
        <f>SUM(CD7:CD13)</f>
        <v>181.91000000000003</v>
      </c>
      <c r="CE14" s="10">
        <f>SUM(CE7:CE13)</f>
        <v>195.26999999999998</v>
      </c>
      <c r="CF14" s="10">
        <f>SUM(CF7:CF13)</f>
        <v>170.29999999999998</v>
      </c>
      <c r="CG14" s="38"/>
      <c r="CH14" s="10">
        <f t="shared" si="14"/>
        <v>690.0999999999999</v>
      </c>
      <c r="CI14" s="10">
        <f>SUM(CI7:CI13)</f>
        <v>175.00000000000003</v>
      </c>
      <c r="CJ14" s="10">
        <f>SUM(CJ7:CJ13)</f>
        <v>169.5</v>
      </c>
      <c r="CK14" s="10">
        <f>SUM(CK7:CK13)</f>
        <v>173.3</v>
      </c>
      <c r="CL14" s="10">
        <f>SUM(CL7:CL13)</f>
        <v>172.3</v>
      </c>
      <c r="CM14" s="38"/>
      <c r="CN14" s="2"/>
      <c r="CO14" s="10"/>
      <c r="CP14" s="10"/>
      <c r="CQ14" s="10"/>
      <c r="CR14" s="10"/>
    </row>
    <row r="15" spans="7:91" s="2" customFormat="1" ht="15">
      <c r="G15" s="29"/>
      <c r="M15" s="29"/>
      <c r="S15" s="29"/>
      <c r="Y15" s="29"/>
      <c r="AE15" s="29"/>
      <c r="AK15" s="29"/>
      <c r="AQ15" s="29"/>
      <c r="AW15" s="29"/>
      <c r="BC15" s="29"/>
      <c r="BI15" s="29"/>
      <c r="BO15" s="29"/>
      <c r="BU15" s="29"/>
      <c r="CA15" s="29"/>
      <c r="CG15" s="29"/>
      <c r="CM15" s="29"/>
    </row>
    <row r="16" spans="1:96" s="2" customFormat="1" ht="15">
      <c r="A16" s="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21"/>
      <c r="O16" s="21"/>
      <c r="P16" s="21"/>
      <c r="Q16" s="21"/>
      <c r="R16" s="21"/>
      <c r="S16" s="30"/>
      <c r="T16" s="21"/>
      <c r="U16" s="21"/>
      <c r="V16" s="21"/>
      <c r="W16" s="21"/>
      <c r="X16" s="21"/>
      <c r="Y16" s="42"/>
      <c r="Z16" s="42"/>
      <c r="AA16" s="42"/>
      <c r="AB16" s="21"/>
      <c r="AC16" s="21"/>
      <c r="AD16" s="21"/>
      <c r="AE16" s="42"/>
      <c r="AF16" s="42"/>
      <c r="AG16" s="42"/>
      <c r="AH16" s="42"/>
      <c r="AI16" s="42"/>
      <c r="AJ16" s="42"/>
      <c r="AK16" s="30"/>
      <c r="AQ16" s="30"/>
      <c r="AW16" s="30"/>
      <c r="AX16" s="6"/>
      <c r="AY16" s="6"/>
      <c r="AZ16" s="16"/>
      <c r="BA16" s="6"/>
      <c r="BB16" s="6"/>
      <c r="BC16" s="30"/>
      <c r="BD16" s="6"/>
      <c r="BE16" s="6"/>
      <c r="BF16" s="16"/>
      <c r="BG16" s="6"/>
      <c r="BH16" s="6"/>
      <c r="BI16" s="30"/>
      <c r="BJ16" s="6"/>
      <c r="BK16" s="6"/>
      <c r="BL16" s="16"/>
      <c r="BM16" s="6"/>
      <c r="BN16" s="6"/>
      <c r="BO16" s="30"/>
      <c r="BP16" s="6"/>
      <c r="BQ16" s="6"/>
      <c r="BR16" s="16"/>
      <c r="BS16" s="6"/>
      <c r="BT16" s="6"/>
      <c r="BU16" s="30"/>
      <c r="BV16" s="6"/>
      <c r="BW16" s="6"/>
      <c r="BX16" s="16"/>
      <c r="BY16" s="6"/>
      <c r="BZ16" s="6"/>
      <c r="CA16" s="30"/>
      <c r="CB16" s="6"/>
      <c r="CC16" s="6"/>
      <c r="CD16" s="16"/>
      <c r="CE16" s="6"/>
      <c r="CF16" s="6"/>
      <c r="CG16" s="30"/>
      <c r="CH16" s="6"/>
      <c r="CI16" s="6"/>
      <c r="CJ16" s="16"/>
      <c r="CK16" s="6"/>
      <c r="CL16" s="6"/>
      <c r="CM16" s="30"/>
      <c r="CN16" s="6"/>
      <c r="CO16" s="6"/>
      <c r="CP16" s="16"/>
      <c r="CQ16" s="6"/>
      <c r="CR16" s="6"/>
    </row>
    <row r="17" spans="1:96" s="2" customFormat="1" ht="15">
      <c r="A17" s="4"/>
      <c r="M17" s="29"/>
      <c r="N17" s="21"/>
      <c r="O17" s="21"/>
      <c r="P17" s="21"/>
      <c r="Q17" s="21"/>
      <c r="R17" s="21"/>
      <c r="S17" s="31"/>
      <c r="T17" s="21"/>
      <c r="U17" s="21"/>
      <c r="V17" s="21"/>
      <c r="W17" s="21"/>
      <c r="X17" s="21"/>
      <c r="Y17" s="29"/>
      <c r="AB17" s="21"/>
      <c r="AC17" s="21"/>
      <c r="AD17" s="21"/>
      <c r="AE17" s="29"/>
      <c r="AK17" s="31"/>
      <c r="AL17" s="19"/>
      <c r="AQ17" s="31"/>
      <c r="AW17" s="29"/>
      <c r="AX17" s="4"/>
      <c r="AY17" s="20"/>
      <c r="AZ17" s="4"/>
      <c r="BA17" s="4"/>
      <c r="BB17" s="13"/>
      <c r="BC17" s="29"/>
      <c r="BD17" s="4"/>
      <c r="BE17" s="20"/>
      <c r="BF17" s="4"/>
      <c r="BG17" s="4"/>
      <c r="BH17" s="13"/>
      <c r="BI17" s="29"/>
      <c r="BJ17" s="4"/>
      <c r="BK17" s="20"/>
      <c r="BL17" s="4"/>
      <c r="BM17" s="4"/>
      <c r="BN17" s="13"/>
      <c r="BO17" s="29"/>
      <c r="BP17" s="4"/>
      <c r="BQ17" s="20"/>
      <c r="BR17" s="4"/>
      <c r="BS17" s="4"/>
      <c r="BT17" s="13"/>
      <c r="BU17" s="29"/>
      <c r="BV17" s="4"/>
      <c r="BW17" s="20"/>
      <c r="BX17" s="4"/>
      <c r="BY17" s="4"/>
      <c r="BZ17" s="13"/>
      <c r="CA17" s="29"/>
      <c r="CB17" s="4"/>
      <c r="CC17" s="20"/>
      <c r="CD17" s="4"/>
      <c r="CE17" s="4"/>
      <c r="CF17" s="13"/>
      <c r="CG17" s="29"/>
      <c r="CH17" s="4"/>
      <c r="CI17" s="20"/>
      <c r="CJ17" s="4"/>
      <c r="CK17" s="4"/>
      <c r="CL17" s="13"/>
      <c r="CM17" s="29"/>
      <c r="CN17" s="4"/>
      <c r="CO17" s="20"/>
      <c r="CP17" s="4"/>
      <c r="CQ17" s="4"/>
      <c r="CR17" s="13"/>
    </row>
    <row r="18" spans="1:96" s="2" customFormat="1" ht="15.75">
      <c r="A18" s="14"/>
      <c r="M18" s="29"/>
      <c r="N18" s="21"/>
      <c r="O18" s="21"/>
      <c r="P18" s="21"/>
      <c r="Q18" s="21"/>
      <c r="R18" s="21"/>
      <c r="T18" s="21"/>
      <c r="U18" s="21"/>
      <c r="V18" s="21"/>
      <c r="W18" s="21"/>
      <c r="X18" s="21"/>
      <c r="Y18" s="29"/>
      <c r="AB18" s="21"/>
      <c r="AC18" s="21"/>
      <c r="AD18" s="21"/>
      <c r="AE18" s="29"/>
      <c r="AL18" s="15"/>
      <c r="AM18" s="15"/>
      <c r="AN18" s="15"/>
      <c r="AO18" s="15"/>
      <c r="AP18" s="15"/>
      <c r="AR18" s="15"/>
      <c r="AS18" s="15"/>
      <c r="AT18" s="15"/>
      <c r="AU18" s="15"/>
      <c r="AV18" s="15"/>
      <c r="AW18" s="30"/>
      <c r="AX18" s="15"/>
      <c r="AY18" s="6"/>
      <c r="AZ18" s="4"/>
      <c r="BA18" s="4"/>
      <c r="BB18" s="4"/>
      <c r="BC18" s="30"/>
      <c r="BD18" s="15"/>
      <c r="BE18" s="6"/>
      <c r="BF18" s="4"/>
      <c r="BG18" s="4"/>
      <c r="BH18" s="4"/>
      <c r="BI18" s="30"/>
      <c r="BJ18" s="15"/>
      <c r="BK18" s="6"/>
      <c r="BL18" s="4"/>
      <c r="BM18" s="4"/>
      <c r="BN18" s="4"/>
      <c r="BO18" s="30"/>
      <c r="BP18" s="15"/>
      <c r="BQ18" s="6"/>
      <c r="BR18" s="4"/>
      <c r="BS18" s="4"/>
      <c r="BT18" s="4"/>
      <c r="BU18" s="30"/>
      <c r="BV18" s="15"/>
      <c r="BW18" s="6"/>
      <c r="BX18" s="4"/>
      <c r="BY18" s="4"/>
      <c r="BZ18" s="4"/>
      <c r="CA18" s="30"/>
      <c r="CB18" s="15"/>
      <c r="CC18" s="6"/>
      <c r="CD18" s="4"/>
      <c r="CE18" s="4"/>
      <c r="CF18" s="4"/>
      <c r="CG18" s="30"/>
      <c r="CH18" s="15"/>
      <c r="CI18" s="6"/>
      <c r="CJ18" s="4"/>
      <c r="CK18" s="4"/>
      <c r="CL18" s="4"/>
      <c r="CM18" s="30"/>
      <c r="CN18" s="15"/>
      <c r="CO18" s="6"/>
      <c r="CP18" s="4"/>
      <c r="CQ18" s="4"/>
      <c r="CR18" s="4"/>
    </row>
    <row r="19" spans="1:93" s="2" customFormat="1" ht="15.75">
      <c r="A19" s="14"/>
      <c r="B19" s="83"/>
      <c r="C19" s="83"/>
      <c r="D19" s="83"/>
      <c r="E19" s="83"/>
      <c r="F19" s="83"/>
      <c r="G19" s="83"/>
      <c r="H19" s="83"/>
      <c r="M19" s="29"/>
      <c r="N19" s="21"/>
      <c r="O19" s="21"/>
      <c r="P19" s="21"/>
      <c r="Q19" s="21"/>
      <c r="R19" s="21"/>
      <c r="S19" s="83"/>
      <c r="T19" s="21"/>
      <c r="U19" s="21"/>
      <c r="V19" s="21"/>
      <c r="W19" s="21"/>
      <c r="X19" s="21"/>
      <c r="Y19" s="29"/>
      <c r="AB19" s="21"/>
      <c r="AC19" s="21"/>
      <c r="AD19" s="21"/>
      <c r="AE19" s="29"/>
      <c r="AL19" s="15"/>
      <c r="AM19" s="15"/>
      <c r="AN19" s="15"/>
      <c r="AO19" s="15"/>
      <c r="AP19" s="15"/>
      <c r="AR19" s="15"/>
      <c r="AS19" s="15"/>
      <c r="AT19" s="15"/>
      <c r="AU19" s="15"/>
      <c r="AV19" s="15"/>
      <c r="AW19" s="31"/>
      <c r="AX19" s="15"/>
      <c r="AY19" s="6"/>
      <c r="BC19" s="31"/>
      <c r="BD19" s="15"/>
      <c r="BE19" s="6"/>
      <c r="BI19" s="31"/>
      <c r="BJ19" s="15"/>
      <c r="BK19" s="6"/>
      <c r="BO19" s="31"/>
      <c r="BP19" s="15"/>
      <c r="BQ19" s="6"/>
      <c r="BU19" s="31"/>
      <c r="BV19" s="15"/>
      <c r="BW19" s="6"/>
      <c r="CA19" s="31"/>
      <c r="CB19" s="15"/>
      <c r="CC19" s="6"/>
      <c r="CG19" s="31"/>
      <c r="CH19" s="15"/>
      <c r="CI19" s="6"/>
      <c r="CM19" s="31"/>
      <c r="CN19" s="15"/>
      <c r="CO19" s="6"/>
    </row>
    <row r="20" spans="1:93" s="2" customFormat="1" ht="15.75">
      <c r="A20" s="14"/>
      <c r="B20" s="83"/>
      <c r="C20" s="83"/>
      <c r="D20" s="83"/>
      <c r="E20" s="83"/>
      <c r="F20" s="83"/>
      <c r="G20" s="83"/>
      <c r="H20" s="83"/>
      <c r="M20" s="29"/>
      <c r="N20" s="21"/>
      <c r="O20" s="21"/>
      <c r="P20" s="21"/>
      <c r="Q20" s="21"/>
      <c r="R20" s="21"/>
      <c r="S20" s="83"/>
      <c r="T20" s="21"/>
      <c r="U20" s="21"/>
      <c r="V20" s="21"/>
      <c r="W20" s="21"/>
      <c r="X20" s="21"/>
      <c r="Y20" s="29"/>
      <c r="AB20" s="21"/>
      <c r="AC20" s="21"/>
      <c r="AD20" s="21"/>
      <c r="AE20" s="29"/>
      <c r="AL20" s="15"/>
      <c r="AM20" s="15"/>
      <c r="AN20" s="15"/>
      <c r="AO20" s="15"/>
      <c r="AP20" s="15"/>
      <c r="AR20" s="15"/>
      <c r="AS20" s="15"/>
      <c r="AT20" s="15"/>
      <c r="AU20" s="15"/>
      <c r="AV20" s="15"/>
      <c r="AX20" s="15"/>
      <c r="AY20" s="6"/>
      <c r="BD20" s="15"/>
      <c r="BE20" s="6"/>
      <c r="BJ20" s="15"/>
      <c r="BK20" s="6"/>
      <c r="BP20" s="15"/>
      <c r="BQ20" s="6"/>
      <c r="BV20" s="15"/>
      <c r="BW20" s="6"/>
      <c r="CB20" s="15"/>
      <c r="CC20" s="6"/>
      <c r="CH20" s="15"/>
      <c r="CI20" s="6"/>
      <c r="CN20" s="15"/>
      <c r="CO20" s="6"/>
    </row>
    <row r="21" spans="1:93" s="2" customFormat="1" ht="15.75">
      <c r="A21" s="14"/>
      <c r="B21" s="21"/>
      <c r="C21" s="21"/>
      <c r="D21" s="21"/>
      <c r="E21" s="21"/>
      <c r="F21" s="21"/>
      <c r="G21" s="21"/>
      <c r="H21" s="21"/>
      <c r="M21" s="29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9"/>
      <c r="AB21" s="21"/>
      <c r="AC21" s="21"/>
      <c r="AD21" s="21"/>
      <c r="AE21" s="29"/>
      <c r="AL21" s="15"/>
      <c r="AM21" s="15"/>
      <c r="AN21" s="15"/>
      <c r="AO21" s="15"/>
      <c r="AP21" s="15"/>
      <c r="AR21" s="15"/>
      <c r="AS21" s="15"/>
      <c r="AT21" s="15"/>
      <c r="AU21" s="15"/>
      <c r="AV21" s="15"/>
      <c r="AX21" s="15"/>
      <c r="AY21" s="6"/>
      <c r="BD21" s="15"/>
      <c r="BE21" s="6"/>
      <c r="BJ21" s="15"/>
      <c r="BK21" s="6"/>
      <c r="BP21" s="15"/>
      <c r="BQ21" s="6"/>
      <c r="BV21" s="15"/>
      <c r="BW21" s="6"/>
      <c r="CB21" s="15"/>
      <c r="CC21" s="6"/>
      <c r="CH21" s="15"/>
      <c r="CI21" s="6"/>
      <c r="CN21" s="15"/>
      <c r="CO21" s="6"/>
    </row>
    <row r="22" spans="1:93" s="2" customFormat="1" ht="15.75">
      <c r="A22" s="14"/>
      <c r="B22" s="21"/>
      <c r="C22" s="21"/>
      <c r="D22" s="21"/>
      <c r="E22" s="21"/>
      <c r="F22" s="21"/>
      <c r="G22" s="21"/>
      <c r="H22" s="21"/>
      <c r="M22" s="2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9"/>
      <c r="AB22" s="21"/>
      <c r="AC22" s="21"/>
      <c r="AD22" s="21"/>
      <c r="AE22" s="29"/>
      <c r="AL22" s="15"/>
      <c r="AM22" s="15"/>
      <c r="AN22" s="15"/>
      <c r="AO22" s="15"/>
      <c r="AP22" s="15"/>
      <c r="AR22" s="15"/>
      <c r="AS22" s="15"/>
      <c r="AT22" s="15"/>
      <c r="AU22" s="15"/>
      <c r="AV22" s="15"/>
      <c r="AX22" s="15"/>
      <c r="AY22" s="6"/>
      <c r="BD22" s="15"/>
      <c r="BE22" s="6"/>
      <c r="BJ22" s="15"/>
      <c r="BK22" s="6"/>
      <c r="BP22" s="15"/>
      <c r="BQ22" s="6"/>
      <c r="BV22" s="15"/>
      <c r="BW22" s="6"/>
      <c r="CB22" s="15"/>
      <c r="CC22" s="6"/>
      <c r="CH22" s="15"/>
      <c r="CI22" s="6"/>
      <c r="CN22" s="15"/>
      <c r="CO22" s="6"/>
    </row>
    <row r="23" spans="2:93" s="2" customFormat="1" ht="15.75">
      <c r="B23" s="21"/>
      <c r="C23" s="21"/>
      <c r="D23" s="21"/>
      <c r="E23" s="21"/>
      <c r="F23" s="21"/>
      <c r="G23" s="21"/>
      <c r="H23" s="21"/>
      <c r="N23" s="25"/>
      <c r="O23" s="24"/>
      <c r="P23" s="24"/>
      <c r="Q23" s="24"/>
      <c r="R23" s="24"/>
      <c r="S23" s="21"/>
      <c r="T23" s="25"/>
      <c r="U23" s="24"/>
      <c r="V23" s="24"/>
      <c r="W23" s="24"/>
      <c r="X23" s="24"/>
      <c r="AC23" s="24"/>
      <c r="AD23" s="24"/>
      <c r="AL23" s="15"/>
      <c r="AM23" s="15"/>
      <c r="AN23" s="15"/>
      <c r="AO23" s="15"/>
      <c r="AP23" s="15"/>
      <c r="AR23" s="15"/>
      <c r="AS23" s="15"/>
      <c r="AT23" s="15"/>
      <c r="AU23" s="15"/>
      <c r="AV23" s="15"/>
      <c r="AX23" s="15"/>
      <c r="AY23" s="6"/>
      <c r="BD23" s="15"/>
      <c r="BE23" s="6"/>
      <c r="BJ23" s="15"/>
      <c r="BK23" s="6"/>
      <c r="BP23" s="15"/>
      <c r="BQ23" s="6"/>
      <c r="BV23" s="15"/>
      <c r="BW23" s="6"/>
      <c r="CB23" s="15"/>
      <c r="CC23" s="6"/>
      <c r="CH23" s="15"/>
      <c r="CI23" s="6"/>
      <c r="CN23" s="15"/>
      <c r="CO23" s="6"/>
    </row>
    <row r="24" spans="2:92" s="2" customFormat="1" ht="15.75">
      <c r="B24" s="21"/>
      <c r="C24" s="21"/>
      <c r="D24" s="21"/>
      <c r="E24" s="21"/>
      <c r="F24" s="21"/>
      <c r="G24" s="21"/>
      <c r="H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AX24" s="15"/>
      <c r="BD24" s="15"/>
      <c r="BJ24" s="15"/>
      <c r="BP24" s="15"/>
      <c r="BV24" s="15"/>
      <c r="CB24" s="15"/>
      <c r="CH24" s="15"/>
      <c r="CN24" s="15"/>
    </row>
    <row r="25" spans="2:23" s="2" customFormat="1" ht="14.25">
      <c r="B25" s="21"/>
      <c r="C25" s="21"/>
      <c r="D25" s="21"/>
      <c r="E25" s="21"/>
      <c r="F25" s="21"/>
      <c r="G25" s="21"/>
      <c r="H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s="2" customFormat="1" ht="14.25">
      <c r="B26" s="21"/>
      <c r="C26" s="21"/>
      <c r="D26" s="21"/>
      <c r="E26" s="21"/>
      <c r="F26" s="21"/>
      <c r="G26" s="21"/>
      <c r="H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s="2" customFormat="1" ht="14.25">
      <c r="B27" s="21"/>
      <c r="C27" s="21"/>
      <c r="D27" s="21"/>
      <c r="E27" s="21"/>
      <c r="F27" s="21"/>
      <c r="G27" s="21"/>
      <c r="H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96" s="7" customFormat="1" ht="14.25">
      <c r="B28" s="21"/>
      <c r="D28" s="82"/>
      <c r="E28" s="82"/>
      <c r="F28" s="21"/>
      <c r="G28" s="2"/>
      <c r="H28" s="21"/>
      <c r="K28" s="82"/>
      <c r="L28" s="82"/>
      <c r="M28" s="2"/>
      <c r="N28" s="21"/>
      <c r="O28" s="21"/>
      <c r="P28" s="21"/>
      <c r="Q28" s="21"/>
      <c r="R28" s="82"/>
      <c r="S28" s="82"/>
      <c r="T28" s="21"/>
      <c r="U28" s="21"/>
      <c r="V28" s="82"/>
      <c r="W28" s="82"/>
      <c r="Y28" s="2"/>
      <c r="AC28" s="2"/>
      <c r="AD28" s="2"/>
      <c r="AE28" s="2"/>
      <c r="AF28" s="2"/>
      <c r="AG28" s="2"/>
      <c r="AH28" s="2"/>
      <c r="AI28" s="2"/>
      <c r="AJ28" s="2"/>
      <c r="AK28" s="2"/>
      <c r="AO28" s="2"/>
      <c r="AP28" s="2"/>
      <c r="AQ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5:96" s="7" customFormat="1" ht="14.25">
      <c r="E29" s="2"/>
      <c r="G29" s="2"/>
      <c r="K29" s="2"/>
      <c r="M29" s="2"/>
      <c r="N29" s="2"/>
      <c r="O29" s="2"/>
      <c r="P29" s="2"/>
      <c r="Q29" s="2"/>
      <c r="R29" s="2"/>
      <c r="S29" s="2"/>
      <c r="W29" s="2"/>
      <c r="Y29" s="2"/>
      <c r="AC29" s="2"/>
      <c r="AD29" s="2"/>
      <c r="AE29" s="2"/>
      <c r="AF29" s="2"/>
      <c r="AG29" s="2"/>
      <c r="AH29" s="2"/>
      <c r="AI29" s="2"/>
      <c r="AJ29" s="2"/>
      <c r="AK29" s="2"/>
      <c r="AO29" s="2"/>
      <c r="AP29" s="2"/>
      <c r="AQ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5:96" s="7" customFormat="1" ht="14.25">
      <c r="E30" s="2"/>
      <c r="G30" s="2"/>
      <c r="K30" s="2"/>
      <c r="M30" s="2"/>
      <c r="N30" s="2"/>
      <c r="O30" s="2"/>
      <c r="P30" s="2"/>
      <c r="Q30" s="2"/>
      <c r="R30" s="2"/>
      <c r="S30" s="2"/>
      <c r="W30" s="2"/>
      <c r="Y30" s="2"/>
      <c r="AC30" s="2"/>
      <c r="AD30" s="2"/>
      <c r="AE30" s="2"/>
      <c r="AF30" s="2"/>
      <c r="AG30" s="2"/>
      <c r="AH30" s="2"/>
      <c r="AI30" s="2"/>
      <c r="AJ30" s="2"/>
      <c r="AK30" s="2"/>
      <c r="AO30" s="2"/>
      <c r="AP30" s="2"/>
      <c r="AQ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5:96" s="7" customFormat="1" ht="14.25">
      <c r="E31" s="2"/>
      <c r="G31" s="2"/>
      <c r="K31" s="2"/>
      <c r="M31" s="2"/>
      <c r="N31" s="2"/>
      <c r="O31" s="2"/>
      <c r="P31" s="2"/>
      <c r="Q31" s="2"/>
      <c r="R31" s="2"/>
      <c r="S31" s="2"/>
      <c r="W31" s="2"/>
      <c r="Y31" s="2"/>
      <c r="AC31" s="2"/>
      <c r="AD31" s="2"/>
      <c r="AE31" s="2"/>
      <c r="AF31" s="2"/>
      <c r="AG31" s="2"/>
      <c r="AH31" s="2"/>
      <c r="AI31" s="2"/>
      <c r="AJ31" s="2"/>
      <c r="AK31" s="2"/>
      <c r="AO31" s="2"/>
      <c r="AP31" s="2"/>
      <c r="AQ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5:96" s="7" customFormat="1" ht="14.25">
      <c r="E32" s="2"/>
      <c r="G32" s="18"/>
      <c r="K32" s="2"/>
      <c r="M32" s="18"/>
      <c r="N32" s="2"/>
      <c r="O32" s="2"/>
      <c r="P32" s="2"/>
      <c r="Q32" s="2"/>
      <c r="R32" s="2"/>
      <c r="S32" s="18"/>
      <c r="W32" s="2"/>
      <c r="Y32" s="18"/>
      <c r="AC32" s="2"/>
      <c r="AD32" s="2"/>
      <c r="AE32" s="18"/>
      <c r="AF32" s="2"/>
      <c r="AG32" s="2"/>
      <c r="AH32" s="2"/>
      <c r="AI32" s="2"/>
      <c r="AJ32" s="2"/>
      <c r="AK32" s="18"/>
      <c r="AO32" s="2"/>
      <c r="AP32" s="2"/>
      <c r="AQ32" s="18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5:96" s="7" customFormat="1" ht="14.25">
      <c r="E33" s="2"/>
      <c r="G33" s="18"/>
      <c r="K33" s="2"/>
      <c r="M33" s="18"/>
      <c r="N33" s="2"/>
      <c r="O33" s="2"/>
      <c r="P33" s="2"/>
      <c r="Q33" s="2"/>
      <c r="R33" s="2"/>
      <c r="S33" s="18"/>
      <c r="W33" s="2"/>
      <c r="Y33" s="18"/>
      <c r="AC33" s="2"/>
      <c r="AD33" s="2"/>
      <c r="AE33" s="18"/>
      <c r="AF33" s="2"/>
      <c r="AG33" s="2"/>
      <c r="AH33" s="2"/>
      <c r="AI33" s="2"/>
      <c r="AJ33" s="2"/>
      <c r="AK33" s="18"/>
      <c r="AO33" s="2"/>
      <c r="AP33" s="2"/>
      <c r="AQ33" s="18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6:24" ht="14.25">
      <c r="F34" s="8"/>
      <c r="L34" s="8"/>
      <c r="X34" s="8"/>
    </row>
    <row r="35" spans="6:24" ht="14.25">
      <c r="F35" s="8"/>
      <c r="L35" s="8"/>
      <c r="X35" s="8"/>
    </row>
    <row r="36" spans="6:24" ht="14.25">
      <c r="F36" s="8"/>
      <c r="L36" s="8"/>
      <c r="X36" s="8"/>
    </row>
    <row r="37" spans="6:24" ht="14.25">
      <c r="F37" s="8"/>
      <c r="L37" s="8"/>
      <c r="X37" s="8"/>
    </row>
    <row r="38" spans="6:24" ht="14.25">
      <c r="F38" s="8"/>
      <c r="L38" s="8"/>
      <c r="X38" s="8"/>
    </row>
    <row r="39" spans="6:24" ht="14.25">
      <c r="F39" s="8"/>
      <c r="L39" s="8"/>
      <c r="X39" s="8"/>
    </row>
    <row r="40" spans="6:24" ht="14.25">
      <c r="F40" s="8"/>
      <c r="L40" s="8"/>
      <c r="X40" s="8"/>
    </row>
    <row r="41" spans="6:24" ht="14.25">
      <c r="F41" s="8"/>
      <c r="L41" s="8"/>
      <c r="X41" s="8"/>
    </row>
    <row r="42" spans="6:24" ht="14.25">
      <c r="F42" s="8"/>
      <c r="L42" s="8"/>
      <c r="X42" s="8"/>
    </row>
    <row r="43" spans="6:24" ht="14.25">
      <c r="F43" s="8"/>
      <c r="L43" s="8"/>
      <c r="X43" s="8"/>
    </row>
    <row r="44" spans="6:24" ht="14.25">
      <c r="F44" s="8"/>
      <c r="L44" s="8"/>
      <c r="X44" s="8"/>
    </row>
    <row r="45" spans="6:24" ht="14.25">
      <c r="F45" s="8"/>
      <c r="L45" s="8"/>
      <c r="X45" s="8"/>
    </row>
    <row r="46" spans="6:24" ht="14.25">
      <c r="F46" s="8"/>
      <c r="L46" s="8"/>
      <c r="X46" s="8"/>
    </row>
    <row r="47" spans="6:24" ht="14.25">
      <c r="F47" s="8"/>
      <c r="L47" s="8"/>
      <c r="X47" s="8"/>
    </row>
    <row r="48" spans="6:24" ht="14.25">
      <c r="F48" s="8"/>
      <c r="L48" s="8"/>
      <c r="X48" s="8"/>
    </row>
    <row r="49" spans="6:24" ht="14.25">
      <c r="F49" s="8"/>
      <c r="L49" s="8"/>
      <c r="X49" s="8"/>
    </row>
    <row r="50" spans="6:24" ht="14.25">
      <c r="F50" s="8"/>
      <c r="L50" s="8"/>
      <c r="X50" s="8"/>
    </row>
    <row r="51" spans="6:24" ht="14.25">
      <c r="F51" s="8"/>
      <c r="L51" s="8"/>
      <c r="X51" s="8"/>
    </row>
    <row r="52" spans="6:24" ht="14.25">
      <c r="F52" s="8"/>
      <c r="L52" s="8"/>
      <c r="X52" s="8"/>
    </row>
    <row r="53" spans="6:24" ht="14.25">
      <c r="F53" s="8"/>
      <c r="L53" s="8"/>
      <c r="X53" s="8"/>
    </row>
    <row r="54" spans="6:24" ht="14.25">
      <c r="F54" s="8"/>
      <c r="L54" s="8"/>
      <c r="X54" s="8"/>
    </row>
    <row r="55" spans="6:24" ht="14.25">
      <c r="F55" s="8"/>
      <c r="L55" s="8"/>
      <c r="X55" s="8"/>
    </row>
    <row r="56" spans="6:24" ht="14.25">
      <c r="F56" s="8"/>
      <c r="L56" s="8"/>
      <c r="X56" s="8"/>
    </row>
    <row r="57" spans="6:24" ht="14.25">
      <c r="F57" s="8"/>
      <c r="L57" s="8"/>
      <c r="X57" s="8"/>
    </row>
    <row r="58" spans="6:24" ht="14.25">
      <c r="F58" s="8"/>
      <c r="L58" s="8"/>
      <c r="X58" s="8"/>
    </row>
  </sheetData>
  <sheetProtection/>
  <mergeCells count="15">
    <mergeCell ref="H3:L3"/>
    <mergeCell ref="BV3:BZ3"/>
    <mergeCell ref="T3:X3"/>
    <mergeCell ref="N3:R3"/>
    <mergeCell ref="B3:F3"/>
    <mergeCell ref="CB3:CF3"/>
    <mergeCell ref="CH3:CL3"/>
    <mergeCell ref="AL3:AP3"/>
    <mergeCell ref="AR3:AV3"/>
    <mergeCell ref="AX3:BB3"/>
    <mergeCell ref="Z3:AD3"/>
    <mergeCell ref="BD3:BH3"/>
    <mergeCell ref="BJ3:BN3"/>
    <mergeCell ref="BP3:BT3"/>
    <mergeCell ref="AF3:AJ3"/>
  </mergeCells>
  <printOptions/>
  <pageMargins left="0.5" right="0.5" top="1" bottom="1" header="0.5" footer="0.5"/>
  <pageSetup fitToHeight="0" fitToWidth="3" horizontalDpi="600" verticalDpi="600" orientation="landscape" scale="42" r:id="rId1"/>
  <headerFooter>
    <oddFooter>&amp;R&amp;11&amp;P</oddFooter>
  </headerFooter>
  <colBreaks count="2" manualBreakCount="2">
    <brk id="49" max="15" man="1"/>
    <brk id="7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70" zoomScaleNormal="7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" sqref="N3:P13"/>
    </sheetView>
  </sheetViews>
  <sheetFormatPr defaultColWidth="9.140625" defaultRowHeight="12.75"/>
  <cols>
    <col min="1" max="1" width="100.00390625" style="0" customWidth="1"/>
    <col min="2" max="9" width="22.7109375" style="0" customWidth="1"/>
    <col min="10" max="11" width="16.7109375" style="0" customWidth="1"/>
    <col min="12" max="12" width="3.421875" style="0" customWidth="1"/>
    <col min="13" max="13" width="49.421875" style="0" customWidth="1"/>
    <col min="14" max="21" width="11.7109375" style="0" customWidth="1"/>
  </cols>
  <sheetData>
    <row r="1" spans="1:15" ht="20.25">
      <c r="A1" s="81" t="s">
        <v>43</v>
      </c>
      <c r="B1" s="74"/>
      <c r="C1" s="74"/>
      <c r="D1" s="74"/>
      <c r="E1" s="74"/>
      <c r="F1" s="74"/>
      <c r="G1" s="74"/>
      <c r="H1" s="74"/>
      <c r="I1" s="74"/>
      <c r="O1" s="8">
        <f>100000</f>
        <v>100000</v>
      </c>
    </row>
    <row r="2" spans="1:9" ht="21" thickBot="1">
      <c r="A2" s="75" t="s">
        <v>44</v>
      </c>
      <c r="B2" s="76"/>
      <c r="C2" s="76"/>
      <c r="D2" s="76"/>
      <c r="E2" s="76"/>
      <c r="F2" s="76"/>
      <c r="G2" s="76"/>
      <c r="H2" s="76"/>
      <c r="I2" s="77"/>
    </row>
    <row r="3" spans="1:18" ht="19.5" thickBot="1">
      <c r="A3" s="50"/>
      <c r="B3" s="84" t="s">
        <v>53</v>
      </c>
      <c r="C3" s="73"/>
      <c r="D3" s="73"/>
      <c r="E3" s="73"/>
      <c r="F3" s="92" t="s">
        <v>49</v>
      </c>
      <c r="G3" s="93"/>
      <c r="H3" s="93"/>
      <c r="I3" s="94"/>
      <c r="N3" s="97">
        <v>2023</v>
      </c>
      <c r="O3" s="96"/>
      <c r="P3" s="96"/>
      <c r="Q3" s="96"/>
      <c r="R3" s="95">
        <v>2022</v>
      </c>
    </row>
    <row r="4" spans="1:21" ht="20.25">
      <c r="A4" s="51" t="s">
        <v>12</v>
      </c>
      <c r="B4" s="86" t="s">
        <v>45</v>
      </c>
      <c r="C4" s="86" t="s">
        <v>46</v>
      </c>
      <c r="D4" s="86" t="s">
        <v>47</v>
      </c>
      <c r="E4" s="86" t="s">
        <v>56</v>
      </c>
      <c r="F4" s="85" t="s">
        <v>45</v>
      </c>
      <c r="G4" s="85" t="s">
        <v>46</v>
      </c>
      <c r="H4" s="90" t="s">
        <v>47</v>
      </c>
      <c r="I4" s="91" t="s">
        <v>56</v>
      </c>
      <c r="M4" s="65"/>
      <c r="N4" s="69" t="s">
        <v>45</v>
      </c>
      <c r="O4" s="69" t="s">
        <v>46</v>
      </c>
      <c r="P4" s="69" t="s">
        <v>47</v>
      </c>
      <c r="Q4" s="69" t="s">
        <v>48</v>
      </c>
      <c r="R4" s="69" t="s">
        <v>45</v>
      </c>
      <c r="S4" s="69" t="s">
        <v>46</v>
      </c>
      <c r="T4" s="69" t="s">
        <v>47</v>
      </c>
      <c r="U4" s="69" t="s">
        <v>48</v>
      </c>
    </row>
    <row r="5" spans="1:21" ht="18.75">
      <c r="A5" s="52" t="s">
        <v>13</v>
      </c>
      <c r="B5" s="53">
        <v>76622.6803928802</v>
      </c>
      <c r="C5" s="78">
        <v>78697.80167506386</v>
      </c>
      <c r="D5" s="53">
        <v>74513.58487374945</v>
      </c>
      <c r="E5" s="53">
        <v>229834.06694169354</v>
      </c>
      <c r="F5" s="53">
        <v>62061.30632728779</v>
      </c>
      <c r="G5" s="53">
        <v>71283.15593531456</v>
      </c>
      <c r="H5" s="53">
        <v>68735.34265589272</v>
      </c>
      <c r="I5" s="87">
        <v>202079.80491849507</v>
      </c>
      <c r="M5" s="67" t="s">
        <v>1</v>
      </c>
      <c r="N5" s="70">
        <f aca="true" t="shared" si="0" ref="N5:U5">(B5)/(1000)</f>
        <v>76.6226803928802</v>
      </c>
      <c r="O5" s="70">
        <f t="shared" si="0"/>
        <v>78.69780167506386</v>
      </c>
      <c r="P5" s="70">
        <f t="shared" si="0"/>
        <v>74.51358487374945</v>
      </c>
      <c r="Q5" s="70">
        <f t="shared" si="0"/>
        <v>229.83406694169355</v>
      </c>
      <c r="R5" s="70">
        <f t="shared" si="0"/>
        <v>62.061306327287795</v>
      </c>
      <c r="S5" s="70">
        <f t="shared" si="0"/>
        <v>71.28315593531455</v>
      </c>
      <c r="T5" s="70">
        <f t="shared" si="0"/>
        <v>68.73534265589272</v>
      </c>
      <c r="U5" s="70">
        <f t="shared" si="0"/>
        <v>202.07980491849506</v>
      </c>
    </row>
    <row r="6" spans="1:21" ht="18.75">
      <c r="A6" s="55" t="s">
        <v>14</v>
      </c>
      <c r="B6" s="56">
        <v>20085.083970000014</v>
      </c>
      <c r="C6" s="54">
        <v>19659.519109999983</v>
      </c>
      <c r="D6" s="56">
        <v>18196.318799999997</v>
      </c>
      <c r="E6" s="56">
        <v>57940.921879999994</v>
      </c>
      <c r="F6" s="56">
        <v>16188.210650000008</v>
      </c>
      <c r="G6" s="56">
        <v>17274.41381000001</v>
      </c>
      <c r="H6" s="56">
        <v>17097.67463000002</v>
      </c>
      <c r="I6" s="88">
        <v>50560.299090000044</v>
      </c>
      <c r="M6" s="67" t="s">
        <v>2</v>
      </c>
      <c r="N6" s="70">
        <f aca="true" t="shared" si="1" ref="N6:U6">(B14)/(1000)</f>
        <v>66.59264601999986</v>
      </c>
      <c r="O6" s="70">
        <f t="shared" si="1"/>
        <v>67.92477788999997</v>
      </c>
      <c r="P6" s="70">
        <f t="shared" si="1"/>
        <v>69.15994420000007</v>
      </c>
      <c r="Q6" s="70">
        <f t="shared" si="1"/>
        <v>203.67736810999992</v>
      </c>
      <c r="R6" s="70">
        <f t="shared" si="1"/>
        <v>78.57013905000002</v>
      </c>
      <c r="S6" s="70">
        <f t="shared" si="1"/>
        <v>84.16195138999994</v>
      </c>
      <c r="T6" s="70">
        <f t="shared" si="1"/>
        <v>80.74353677000006</v>
      </c>
      <c r="U6" s="70">
        <f t="shared" si="1"/>
        <v>243.47562721000003</v>
      </c>
    </row>
    <row r="7" spans="1:21" ht="18.75">
      <c r="A7" s="57" t="s">
        <v>15</v>
      </c>
      <c r="B7" s="103">
        <v>1532.2211199999997</v>
      </c>
      <c r="C7" s="104">
        <v>1652.3525700000002</v>
      </c>
      <c r="D7" s="103">
        <v>1357.981830000001</v>
      </c>
      <c r="E7" s="103">
        <v>4542.555520000002</v>
      </c>
      <c r="F7" s="103">
        <v>1324.01859</v>
      </c>
      <c r="G7" s="103">
        <v>1488.6646900000007</v>
      </c>
      <c r="H7" s="103">
        <v>1390.6066900000008</v>
      </c>
      <c r="I7" s="105">
        <v>4203.289970000002</v>
      </c>
      <c r="M7" s="67" t="s">
        <v>3</v>
      </c>
      <c r="N7" s="70">
        <f aca="true" t="shared" si="2" ref="N7:U7">(B18)/(1000)</f>
        <v>48.27294416052633</v>
      </c>
      <c r="O7" s="70">
        <f t="shared" si="2"/>
        <v>53.479146991032515</v>
      </c>
      <c r="P7" s="70">
        <f t="shared" si="2"/>
        <v>52.07899693842106</v>
      </c>
      <c r="Q7" s="70">
        <f t="shared" si="2"/>
        <v>153.8310880899799</v>
      </c>
      <c r="R7" s="70">
        <f t="shared" si="2"/>
        <v>41.515567225817705</v>
      </c>
      <c r="S7" s="70">
        <f t="shared" si="2"/>
        <v>69.75632234749999</v>
      </c>
      <c r="T7" s="70">
        <f t="shared" si="2"/>
        <v>70.6082236391756</v>
      </c>
      <c r="U7" s="70">
        <f t="shared" si="2"/>
        <v>181.8801132124933</v>
      </c>
    </row>
    <row r="8" spans="1:21" ht="18.75">
      <c r="A8" s="57" t="s">
        <v>16</v>
      </c>
      <c r="B8" s="103">
        <v>18552.862850000016</v>
      </c>
      <c r="C8" s="104">
        <v>18007.166539999984</v>
      </c>
      <c r="D8" s="103">
        <v>16838.336969999997</v>
      </c>
      <c r="E8" s="103">
        <v>53398.36635999999</v>
      </c>
      <c r="F8" s="103">
        <v>14864.192060000008</v>
      </c>
      <c r="G8" s="103">
        <v>15785.749120000008</v>
      </c>
      <c r="H8" s="103">
        <v>15707.067940000019</v>
      </c>
      <c r="I8" s="105">
        <v>46357.00912000003</v>
      </c>
      <c r="M8" s="68" t="s">
        <v>4</v>
      </c>
      <c r="N8" s="70">
        <f aca="true" t="shared" si="3" ref="N8:U8">(B24)/(1000)</f>
        <v>43.92670119228139</v>
      </c>
      <c r="O8" s="70">
        <f t="shared" si="3"/>
        <v>51.50874047668191</v>
      </c>
      <c r="P8" s="70">
        <f t="shared" si="3"/>
        <v>54.214606879700916</v>
      </c>
      <c r="Q8" s="70">
        <f t="shared" si="3"/>
        <v>149.6500485486642</v>
      </c>
      <c r="R8" s="70">
        <f t="shared" si="3"/>
        <v>47.76456670097394</v>
      </c>
      <c r="S8" s="70">
        <f t="shared" si="3"/>
        <v>42.57922326687303</v>
      </c>
      <c r="T8" s="70">
        <f t="shared" si="3"/>
        <v>46.80696279091291</v>
      </c>
      <c r="U8" s="70">
        <f t="shared" si="3"/>
        <v>137.1507527587599</v>
      </c>
    </row>
    <row r="9" spans="1:21" ht="18.75">
      <c r="A9" s="57"/>
      <c r="B9" s="103"/>
      <c r="C9" s="104"/>
      <c r="D9" s="103"/>
      <c r="E9" s="103"/>
      <c r="F9" s="103"/>
      <c r="G9" s="103"/>
      <c r="H9" s="103"/>
      <c r="I9" s="105"/>
      <c r="M9" s="67" t="s">
        <v>5</v>
      </c>
      <c r="N9" s="70">
        <f aca="true" t="shared" si="4" ref="N9:U9">(B28)/(1000)</f>
        <v>33.047700705000004</v>
      </c>
      <c r="O9" s="70">
        <f t="shared" si="4"/>
        <v>28.740636561</v>
      </c>
      <c r="P9" s="70">
        <f t="shared" si="4"/>
        <v>30.263155400000016</v>
      </c>
      <c r="Q9" s="70">
        <f t="shared" si="4"/>
        <v>92.05149266600002</v>
      </c>
      <c r="R9" s="70">
        <f t="shared" si="4"/>
        <v>33.35126281999999</v>
      </c>
      <c r="S9" s="70">
        <f t="shared" si="4"/>
        <v>33.64007613000002</v>
      </c>
      <c r="T9" s="70">
        <f t="shared" si="4"/>
        <v>25.536184849999994</v>
      </c>
      <c r="U9" s="70">
        <f t="shared" si="4"/>
        <v>92.5275238</v>
      </c>
    </row>
    <row r="10" spans="1:21" ht="18.75">
      <c r="A10" s="55" t="s">
        <v>17</v>
      </c>
      <c r="B10" s="106">
        <v>56537.59642288018</v>
      </c>
      <c r="C10" s="107">
        <v>59038.282565063884</v>
      </c>
      <c r="D10" s="106">
        <v>56317.26607374946</v>
      </c>
      <c r="E10" s="106">
        <v>171893.14506169353</v>
      </c>
      <c r="F10" s="106">
        <v>45873.09567728778</v>
      </c>
      <c r="G10" s="106">
        <v>54008.742125314544</v>
      </c>
      <c r="H10" s="106">
        <v>51637.66802589269</v>
      </c>
      <c r="I10" s="108">
        <v>151519.50582849502</v>
      </c>
      <c r="M10" s="67" t="s">
        <v>6</v>
      </c>
      <c r="N10" s="70">
        <f aca="true" t="shared" si="5" ref="N10:U10">(B35)/(1000)</f>
        <v>79.04726358845879</v>
      </c>
      <c r="O10" s="70">
        <f t="shared" si="5"/>
        <v>89.72012232151663</v>
      </c>
      <c r="P10" s="70">
        <f t="shared" si="5"/>
        <v>93.82200510276121</v>
      </c>
      <c r="Q10" s="70">
        <f t="shared" si="5"/>
        <v>262.5893910127366</v>
      </c>
      <c r="R10" s="70">
        <f t="shared" si="5"/>
        <v>68.06900917613041</v>
      </c>
      <c r="S10" s="70">
        <f t="shared" si="5"/>
        <v>82.45035939462703</v>
      </c>
      <c r="T10" s="70">
        <f t="shared" si="5"/>
        <v>86.69664557935646</v>
      </c>
      <c r="U10" s="70">
        <f t="shared" si="5"/>
        <v>237.21601415011392</v>
      </c>
    </row>
    <row r="11" spans="1:21" ht="18.75">
      <c r="A11" s="57" t="s">
        <v>18</v>
      </c>
      <c r="B11" s="109">
        <v>4348.609861999998</v>
      </c>
      <c r="C11" s="110">
        <v>3952.874228999998</v>
      </c>
      <c r="D11" s="109">
        <v>4232.238020000002</v>
      </c>
      <c r="E11" s="109">
        <v>12533.722111</v>
      </c>
      <c r="F11" s="109">
        <v>3450.931209999999</v>
      </c>
      <c r="G11" s="109">
        <v>3478.859649999999</v>
      </c>
      <c r="H11" s="109">
        <v>3659.09968</v>
      </c>
      <c r="I11" s="111">
        <v>10588.890539999997</v>
      </c>
      <c r="M11" s="67" t="s">
        <v>10</v>
      </c>
      <c r="N11" s="70">
        <f aca="true" t="shared" si="6" ref="N11:U11">(B40)/(1000)</f>
        <v>6.465241000000006</v>
      </c>
      <c r="O11" s="70">
        <f t="shared" si="6"/>
        <v>7.749456380000009</v>
      </c>
      <c r="P11" s="70">
        <f t="shared" si="6"/>
        <v>6.237858969999998</v>
      </c>
      <c r="Q11" s="70">
        <f t="shared" si="6"/>
        <v>20.452556350000012</v>
      </c>
      <c r="R11" s="70">
        <f t="shared" si="6"/>
        <v>3.5953637599999997</v>
      </c>
      <c r="S11" s="70">
        <f t="shared" si="6"/>
        <v>3.82340111</v>
      </c>
      <c r="T11" s="70">
        <f t="shared" si="6"/>
        <v>4.346330389999998</v>
      </c>
      <c r="U11" s="70">
        <f t="shared" si="6"/>
        <v>11.765095259999997</v>
      </c>
    </row>
    <row r="12" spans="1:21" ht="18.75">
      <c r="A12" s="57" t="s">
        <v>19</v>
      </c>
      <c r="B12" s="109">
        <v>52188.986560880185</v>
      </c>
      <c r="C12" s="110">
        <v>55085.40833606388</v>
      </c>
      <c r="D12" s="109">
        <v>52085.028053749455</v>
      </c>
      <c r="E12" s="109">
        <v>159359.42295069352</v>
      </c>
      <c r="F12" s="109">
        <v>42422.16446728778</v>
      </c>
      <c r="G12" s="109">
        <v>50529.882475314545</v>
      </c>
      <c r="H12" s="109">
        <v>47978.568345892694</v>
      </c>
      <c r="I12" s="111">
        <v>140930.61528849503</v>
      </c>
      <c r="M12" s="66" t="s">
        <v>7</v>
      </c>
      <c r="N12" s="71">
        <f aca="true" t="shared" si="7" ref="N12:U12">SUM(N5:N11)</f>
        <v>353.9751770591466</v>
      </c>
      <c r="O12" s="71">
        <f t="shared" si="7"/>
        <v>377.8206822952949</v>
      </c>
      <c r="P12" s="71">
        <f t="shared" si="7"/>
        <v>380.29015236463266</v>
      </c>
      <c r="Q12" s="71">
        <f t="shared" si="7"/>
        <v>1112.0860117190743</v>
      </c>
      <c r="R12" s="71">
        <f t="shared" si="7"/>
        <v>334.9272150602099</v>
      </c>
      <c r="S12" s="71">
        <f t="shared" si="7"/>
        <v>387.69448957431456</v>
      </c>
      <c r="T12" s="71">
        <f t="shared" si="7"/>
        <v>383.47322667533774</v>
      </c>
      <c r="U12" s="71">
        <f t="shared" si="7"/>
        <v>1106.0949313098622</v>
      </c>
    </row>
    <row r="13" spans="1:20" ht="18.75">
      <c r="A13" s="57"/>
      <c r="B13" s="109"/>
      <c r="C13" s="110"/>
      <c r="D13" s="109"/>
      <c r="E13" s="109"/>
      <c r="F13" s="109"/>
      <c r="G13" s="109"/>
      <c r="H13" s="109"/>
      <c r="I13" s="111"/>
      <c r="O13" s="70"/>
      <c r="P13" s="71">
        <f>SUM(N12:P12)</f>
        <v>1112.0860117190741</v>
      </c>
      <c r="S13" s="70"/>
      <c r="T13" s="71">
        <f>SUM(R12:T12)</f>
        <v>1106.0949313098622</v>
      </c>
    </row>
    <row r="14" spans="1:19" ht="18.75">
      <c r="A14" s="52" t="s">
        <v>20</v>
      </c>
      <c r="B14" s="106">
        <v>66592.64601999985</v>
      </c>
      <c r="C14" s="107">
        <v>67924.77788999997</v>
      </c>
      <c r="D14" s="106">
        <v>69159.94420000007</v>
      </c>
      <c r="E14" s="106">
        <v>203677.36810999992</v>
      </c>
      <c r="F14" s="106">
        <v>78570.13905000003</v>
      </c>
      <c r="G14" s="106">
        <v>84161.95138999994</v>
      </c>
      <c r="H14" s="106">
        <v>80743.53677000006</v>
      </c>
      <c r="I14" s="108">
        <v>243475.62721000004</v>
      </c>
      <c r="O14" s="70">
        <f>(C41)/(1000)</f>
        <v>377.8206822952949</v>
      </c>
      <c r="S14" s="70">
        <f>(G41)/(1000)</f>
        <v>387.6944895743145</v>
      </c>
    </row>
    <row r="15" spans="1:19" ht="18.75">
      <c r="A15" s="57" t="s">
        <v>21</v>
      </c>
      <c r="B15" s="109">
        <v>3762.921079999999</v>
      </c>
      <c r="C15" s="110">
        <v>4049.504710000001</v>
      </c>
      <c r="D15" s="109">
        <v>3746.6044500000003</v>
      </c>
      <c r="E15" s="109">
        <v>11559.03024</v>
      </c>
      <c r="F15" s="109">
        <v>4887.492540000001</v>
      </c>
      <c r="G15" s="109">
        <v>5127.98993</v>
      </c>
      <c r="H15" s="109">
        <v>3763.8181900000004</v>
      </c>
      <c r="I15" s="111">
        <v>13779.30066</v>
      </c>
      <c r="M15" s="64" t="s">
        <v>42</v>
      </c>
      <c r="O15" s="72">
        <f>O12-O14</f>
        <v>0</v>
      </c>
      <c r="S15" s="72">
        <f>S12-S14</f>
        <v>0</v>
      </c>
    </row>
    <row r="16" spans="1:19" ht="18.75">
      <c r="A16" s="57" t="s">
        <v>22</v>
      </c>
      <c r="B16" s="109">
        <v>62829.72493999986</v>
      </c>
      <c r="C16" s="110">
        <v>63875.27317999996</v>
      </c>
      <c r="D16" s="109">
        <v>65413.33975000007</v>
      </c>
      <c r="E16" s="109">
        <v>192118.3378699999</v>
      </c>
      <c r="F16" s="109">
        <v>73682.64651000002</v>
      </c>
      <c r="G16" s="109">
        <v>79033.96145999995</v>
      </c>
      <c r="H16" s="109">
        <v>76979.71858000006</v>
      </c>
      <c r="I16" s="111">
        <v>229696.32655</v>
      </c>
      <c r="O16" s="8"/>
      <c r="S16" s="8"/>
    </row>
    <row r="17" spans="1:9" ht="18.75">
      <c r="A17" s="57"/>
      <c r="B17" s="109"/>
      <c r="C17" s="110"/>
      <c r="D17" s="109"/>
      <c r="E17" s="109"/>
      <c r="F17" s="109"/>
      <c r="G17" s="109"/>
      <c r="H17" s="109"/>
      <c r="I17" s="111"/>
    </row>
    <row r="18" spans="1:9" ht="18.75">
      <c r="A18" s="52" t="s">
        <v>23</v>
      </c>
      <c r="B18" s="106">
        <v>48272.94416052633</v>
      </c>
      <c r="C18" s="107">
        <v>53479.14699103252</v>
      </c>
      <c r="D18" s="106">
        <v>52078.996938421056</v>
      </c>
      <c r="E18" s="106">
        <v>153831.0880899799</v>
      </c>
      <c r="F18" s="106">
        <v>41515.56722581771</v>
      </c>
      <c r="G18" s="106">
        <v>69756.32234749998</v>
      </c>
      <c r="H18" s="106">
        <v>70608.2236391756</v>
      </c>
      <c r="I18" s="108">
        <v>181880.1132124933</v>
      </c>
    </row>
    <row r="19" spans="1:9" ht="18.75">
      <c r="A19" s="57" t="s">
        <v>24</v>
      </c>
      <c r="B19" s="109">
        <v>0</v>
      </c>
      <c r="C19" s="110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11">
        <v>0</v>
      </c>
    </row>
    <row r="20" spans="1:9" ht="18.75">
      <c r="A20" s="57" t="s">
        <v>25</v>
      </c>
      <c r="B20" s="109">
        <v>48272.94416052633</v>
      </c>
      <c r="C20" s="110">
        <v>53479.14699103252</v>
      </c>
      <c r="D20" s="109">
        <v>52078.996938421056</v>
      </c>
      <c r="E20" s="109">
        <v>153831.0880899799</v>
      </c>
      <c r="F20" s="109">
        <v>41515.56722581771</v>
      </c>
      <c r="G20" s="109">
        <v>69756.32234749998</v>
      </c>
      <c r="H20" s="109">
        <v>70608.2236391756</v>
      </c>
      <c r="I20" s="111">
        <v>181880.1132124933</v>
      </c>
    </row>
    <row r="21" spans="1:9" ht="18.75">
      <c r="A21" s="58" t="s">
        <v>26</v>
      </c>
      <c r="B21" s="109">
        <v>47638.514970526325</v>
      </c>
      <c r="C21" s="110">
        <v>52616.47114103252</v>
      </c>
      <c r="D21" s="109">
        <v>50985.87355842106</v>
      </c>
      <c r="E21" s="109">
        <v>151240.8596699799</v>
      </c>
      <c r="F21" s="109">
        <v>39915.21142581771</v>
      </c>
      <c r="G21" s="109">
        <v>68551.83203749999</v>
      </c>
      <c r="H21" s="109">
        <v>69591.60411917561</v>
      </c>
      <c r="I21" s="111">
        <v>178058.64758249331</v>
      </c>
    </row>
    <row r="22" spans="1:9" ht="18.75">
      <c r="A22" s="58" t="s">
        <v>27</v>
      </c>
      <c r="B22" s="109">
        <v>634.42919</v>
      </c>
      <c r="C22" s="110">
        <v>862.67585</v>
      </c>
      <c r="D22" s="109">
        <v>1093.12338</v>
      </c>
      <c r="E22" s="109">
        <v>2590.22842</v>
      </c>
      <c r="F22" s="109">
        <v>1600.3557999999998</v>
      </c>
      <c r="G22" s="109">
        <v>1204.4903100000001</v>
      </c>
      <c r="H22" s="109">
        <v>1016.61952</v>
      </c>
      <c r="I22" s="111">
        <v>3821.4656299999997</v>
      </c>
    </row>
    <row r="23" spans="1:9" ht="18.75">
      <c r="A23" s="58"/>
      <c r="B23" s="109"/>
      <c r="C23" s="110"/>
      <c r="D23" s="109"/>
      <c r="E23" s="109"/>
      <c r="F23" s="109"/>
      <c r="G23" s="109"/>
      <c r="H23" s="109"/>
      <c r="I23" s="111"/>
    </row>
    <row r="24" spans="1:9" ht="37.5">
      <c r="A24" s="59" t="s">
        <v>28</v>
      </c>
      <c r="B24" s="106">
        <v>43926.70119228139</v>
      </c>
      <c r="C24" s="107">
        <v>51508.74047668191</v>
      </c>
      <c r="D24" s="106">
        <v>54214.606879700914</v>
      </c>
      <c r="E24" s="106">
        <v>149650.0485486642</v>
      </c>
      <c r="F24" s="106">
        <v>47764.56670097393</v>
      </c>
      <c r="G24" s="106">
        <v>42579.22326687303</v>
      </c>
      <c r="H24" s="106">
        <v>46806.96279091291</v>
      </c>
      <c r="I24" s="108">
        <v>137150.7527587599</v>
      </c>
    </row>
    <row r="25" spans="1:9" ht="18.75">
      <c r="A25" s="57" t="s">
        <v>29</v>
      </c>
      <c r="B25" s="109">
        <v>33327.70383228139</v>
      </c>
      <c r="C25" s="110">
        <v>36824.95014668188</v>
      </c>
      <c r="D25" s="109">
        <v>38436.09441970091</v>
      </c>
      <c r="E25" s="109">
        <v>108588.74839866417</v>
      </c>
      <c r="F25" s="109">
        <v>33685.40000097395</v>
      </c>
      <c r="G25" s="109">
        <v>30621.89048687303</v>
      </c>
      <c r="H25" s="109">
        <v>36908.9149109129</v>
      </c>
      <c r="I25" s="111">
        <v>101216.20539875988</v>
      </c>
    </row>
    <row r="26" spans="1:9" ht="18.75">
      <c r="A26" s="57" t="s">
        <v>30</v>
      </c>
      <c r="B26" s="109">
        <v>10598.997360000001</v>
      </c>
      <c r="C26" s="110">
        <v>14683.790330000034</v>
      </c>
      <c r="D26" s="109">
        <v>15778.512460000005</v>
      </c>
      <c r="E26" s="109">
        <v>41061.30015000004</v>
      </c>
      <c r="F26" s="109">
        <v>14079.166699999989</v>
      </c>
      <c r="G26" s="109">
        <v>11957.332779999993</v>
      </c>
      <c r="H26" s="109">
        <v>9898.047880000015</v>
      </c>
      <c r="I26" s="111">
        <v>35934.54736</v>
      </c>
    </row>
    <row r="27" spans="1:9" ht="18.75">
      <c r="A27" s="57"/>
      <c r="B27" s="109"/>
      <c r="C27" s="110"/>
      <c r="D27" s="109"/>
      <c r="E27" s="109"/>
      <c r="F27" s="109"/>
      <c r="G27" s="109"/>
      <c r="H27" s="109"/>
      <c r="I27" s="111"/>
    </row>
    <row r="28" spans="1:9" ht="18.75">
      <c r="A28" s="52" t="s">
        <v>31</v>
      </c>
      <c r="B28" s="106">
        <v>33047.700705</v>
      </c>
      <c r="C28" s="107">
        <v>28740.636561</v>
      </c>
      <c r="D28" s="106">
        <v>30263.155400000018</v>
      </c>
      <c r="E28" s="106">
        <v>92051.49266600002</v>
      </c>
      <c r="F28" s="106">
        <v>33351.26281999999</v>
      </c>
      <c r="G28" s="106">
        <v>33640.076130000016</v>
      </c>
      <c r="H28" s="106">
        <v>25536.184849999994</v>
      </c>
      <c r="I28" s="108">
        <v>92527.5238</v>
      </c>
    </row>
    <row r="29" spans="1:9" ht="18.75">
      <c r="A29" s="58" t="s">
        <v>32</v>
      </c>
      <c r="B29" s="109">
        <v>15553.847319999999</v>
      </c>
      <c r="C29" s="110">
        <v>14895.18699</v>
      </c>
      <c r="D29" s="109">
        <v>15344.599550000008</v>
      </c>
      <c r="E29" s="109">
        <v>45793.63386000001</v>
      </c>
      <c r="F29" s="109">
        <v>15025.684529999997</v>
      </c>
      <c r="G29" s="109">
        <v>13595.553729999996</v>
      </c>
      <c r="H29" s="109">
        <v>11461.538940000002</v>
      </c>
      <c r="I29" s="111">
        <v>40082.7772</v>
      </c>
    </row>
    <row r="30" spans="1:9" ht="18.75">
      <c r="A30" s="58" t="s">
        <v>33</v>
      </c>
      <c r="B30" s="106">
        <v>8565.356479999999</v>
      </c>
      <c r="C30" s="107">
        <v>5469.219181</v>
      </c>
      <c r="D30" s="106">
        <v>8193.60089</v>
      </c>
      <c r="E30" s="106">
        <v>22228.176550999997</v>
      </c>
      <c r="F30" s="106">
        <v>11780.08197</v>
      </c>
      <c r="G30" s="106">
        <v>7304.3647</v>
      </c>
      <c r="H30" s="106">
        <v>7381.182209999999</v>
      </c>
      <c r="I30" s="108">
        <v>26465.628879999997</v>
      </c>
    </row>
    <row r="31" spans="1:9" ht="18.75">
      <c r="A31" s="60" t="s">
        <v>34</v>
      </c>
      <c r="B31" s="109">
        <v>4537.282579999999</v>
      </c>
      <c r="C31" s="110">
        <v>2629.4233200000003</v>
      </c>
      <c r="D31" s="109">
        <v>4138.91081</v>
      </c>
      <c r="E31" s="109">
        <v>11305.616709999998</v>
      </c>
      <c r="F31" s="109">
        <v>7957.74031</v>
      </c>
      <c r="G31" s="109">
        <v>3899.7924299999995</v>
      </c>
      <c r="H31" s="109">
        <v>4547.0302599999995</v>
      </c>
      <c r="I31" s="111">
        <v>16404.563</v>
      </c>
    </row>
    <row r="32" spans="1:9" ht="18.75">
      <c r="A32" s="60" t="s">
        <v>35</v>
      </c>
      <c r="B32" s="109">
        <v>4028.0738999999985</v>
      </c>
      <c r="C32" s="110">
        <v>2839.795861</v>
      </c>
      <c r="D32" s="109">
        <v>4054.6900799999994</v>
      </c>
      <c r="E32" s="109">
        <v>10922.559840999998</v>
      </c>
      <c r="F32" s="109">
        <v>3822.3416599999996</v>
      </c>
      <c r="G32" s="109">
        <v>3404.57227</v>
      </c>
      <c r="H32" s="109">
        <v>2834.15195</v>
      </c>
      <c r="I32" s="111">
        <v>10061.06588</v>
      </c>
    </row>
    <row r="33" spans="1:9" ht="18.75">
      <c r="A33" s="57" t="s">
        <v>36</v>
      </c>
      <c r="B33" s="109">
        <v>8928.496905000007</v>
      </c>
      <c r="C33" s="110">
        <v>8376.230389999997</v>
      </c>
      <c r="D33" s="109">
        <v>6724.95496000001</v>
      </c>
      <c r="E33" s="109">
        <v>24029.682255000014</v>
      </c>
      <c r="F33" s="109">
        <v>6545.496319999991</v>
      </c>
      <c r="G33" s="109">
        <v>12740.157700000014</v>
      </c>
      <c r="H33" s="109">
        <v>6693.463699999992</v>
      </c>
      <c r="I33" s="111">
        <v>25979.11772</v>
      </c>
    </row>
    <row r="34" spans="1:9" ht="18.75">
      <c r="A34" s="57"/>
      <c r="B34" s="109"/>
      <c r="C34" s="110"/>
      <c r="D34" s="109"/>
      <c r="E34" s="109"/>
      <c r="F34" s="109"/>
      <c r="G34" s="109"/>
      <c r="H34" s="109"/>
      <c r="I34" s="111"/>
    </row>
    <row r="35" spans="1:9" ht="18.75">
      <c r="A35" s="52" t="s">
        <v>6</v>
      </c>
      <c r="B35" s="106">
        <v>79047.2635884588</v>
      </c>
      <c r="C35" s="107">
        <v>89720.12232151662</v>
      </c>
      <c r="D35" s="106">
        <v>93822.0051027612</v>
      </c>
      <c r="E35" s="106">
        <v>262589.3910127366</v>
      </c>
      <c r="F35" s="106">
        <v>68069.0091761304</v>
      </c>
      <c r="G35" s="106">
        <v>82450.35939462703</v>
      </c>
      <c r="H35" s="106">
        <v>86696.64557935645</v>
      </c>
      <c r="I35" s="108">
        <v>237216.01415011392</v>
      </c>
    </row>
    <row r="36" spans="1:9" ht="18.75">
      <c r="A36" s="57" t="s">
        <v>37</v>
      </c>
      <c r="B36" s="109">
        <v>23373.34365999999</v>
      </c>
      <c r="C36" s="110">
        <v>21470.601009999984</v>
      </c>
      <c r="D36" s="109">
        <v>24341.088610000017</v>
      </c>
      <c r="E36" s="109">
        <v>69185.03327999999</v>
      </c>
      <c r="F36" s="109">
        <v>19462.516269999996</v>
      </c>
      <c r="G36" s="109">
        <v>22419.150530000003</v>
      </c>
      <c r="H36" s="109">
        <v>24208.249890000006</v>
      </c>
      <c r="I36" s="111">
        <v>66089.91669000001</v>
      </c>
    </row>
    <row r="37" spans="1:9" ht="18.75">
      <c r="A37" s="57" t="s">
        <v>38</v>
      </c>
      <c r="B37" s="109">
        <v>30821.09644133508</v>
      </c>
      <c r="C37" s="110">
        <v>41874.37528591176</v>
      </c>
      <c r="D37" s="109">
        <v>41680.26057751723</v>
      </c>
      <c r="E37" s="109">
        <v>114375.73230476407</v>
      </c>
      <c r="F37" s="109">
        <v>28198.986234816246</v>
      </c>
      <c r="G37" s="109">
        <v>36712.37039843121</v>
      </c>
      <c r="H37" s="109">
        <v>39548.004136451695</v>
      </c>
      <c r="I37" s="111">
        <v>104459.36076969915</v>
      </c>
    </row>
    <row r="38" spans="1:9" ht="18.75">
      <c r="A38" s="57" t="s">
        <v>39</v>
      </c>
      <c r="B38" s="109">
        <v>24852.823487123715</v>
      </c>
      <c r="C38" s="110">
        <v>26375.14602560488</v>
      </c>
      <c r="D38" s="109">
        <v>27800.655915243962</v>
      </c>
      <c r="E38" s="109">
        <v>79028.62542797255</v>
      </c>
      <c r="F38" s="109">
        <v>20407.506671314164</v>
      </c>
      <c r="G38" s="109">
        <v>23318.838466195808</v>
      </c>
      <c r="H38" s="109">
        <v>22940.39155290475</v>
      </c>
      <c r="I38" s="111">
        <v>66666.73669041472</v>
      </c>
    </row>
    <row r="39" spans="1:9" ht="18.75">
      <c r="A39" s="61"/>
      <c r="B39" s="112"/>
      <c r="C39" s="113"/>
      <c r="D39" s="112"/>
      <c r="E39" s="112"/>
      <c r="F39" s="112"/>
      <c r="G39" s="112"/>
      <c r="H39" s="112"/>
      <c r="I39" s="114"/>
    </row>
    <row r="40" spans="1:9" ht="19.5" thickBot="1">
      <c r="A40" s="62" t="s">
        <v>40</v>
      </c>
      <c r="B40" s="115">
        <v>6465.241000000006</v>
      </c>
      <c r="C40" s="116">
        <v>7749.456380000009</v>
      </c>
      <c r="D40" s="115">
        <v>6237.8589699999975</v>
      </c>
      <c r="E40" s="115">
        <v>20452.556350000013</v>
      </c>
      <c r="F40" s="115">
        <v>3595.3637599999997</v>
      </c>
      <c r="G40" s="115">
        <v>3823.40111</v>
      </c>
      <c r="H40" s="115">
        <v>4346.330389999997</v>
      </c>
      <c r="I40" s="117">
        <v>11765.095259999996</v>
      </c>
    </row>
    <row r="41" spans="1:9" ht="19.5" thickBot="1">
      <c r="A41" s="63" t="s">
        <v>41</v>
      </c>
      <c r="B41" s="79">
        <v>353975.1770591466</v>
      </c>
      <c r="C41" s="80">
        <v>377820.6822952949</v>
      </c>
      <c r="D41" s="79">
        <v>380290.15236463276</v>
      </c>
      <c r="E41" s="79">
        <v>1112086.011719074</v>
      </c>
      <c r="F41" s="79">
        <v>334927.21506020986</v>
      </c>
      <c r="G41" s="79">
        <v>387694.4895743145</v>
      </c>
      <c r="H41" s="79">
        <v>383473.22667533776</v>
      </c>
      <c r="I41" s="89">
        <v>1106094.9313098623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McLaughlin, Errol</cp:lastModifiedBy>
  <cp:lastPrinted>2020-02-10T15:44:17Z</cp:lastPrinted>
  <dcterms:created xsi:type="dcterms:W3CDTF">2014-07-28T15:26:17Z</dcterms:created>
  <dcterms:modified xsi:type="dcterms:W3CDTF">2024-01-17T19:07:52Z</dcterms:modified>
  <cp:category/>
  <cp:version/>
  <cp:contentType/>
  <cp:contentStatus/>
</cp:coreProperties>
</file>